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drawings/drawing1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7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8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9.xml" ContentType="application/vnd.openxmlformats-officedocument.drawing+xml"/>
  <Override PartName="/xl/charts/chart60.xml" ContentType="application/vnd.openxmlformats-officedocument.drawingml.chart+xml"/>
  <Override PartName="/xl/drawings/drawing2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1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2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3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4.xml" ContentType="application/vnd.openxmlformats-officedocument.drawing+xml"/>
  <Override PartName="/xl/tables/table1.xml" ContentType="application/vnd.openxmlformats-officedocument.spreadsheetml.table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25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8800" windowHeight="12135" tabRatio="840" firstSheet="20" activeTab="25"/>
  </bookViews>
  <sheets>
    <sheet name="Таблица 1.1+ общее" sheetId="1" state="hidden" r:id="rId1"/>
    <sheet name="1.1 Стат. данные и сравнит. хар" sheetId="50" r:id="rId2"/>
    <sheet name="1.2 оперативные показатели" sheetId="2" r:id="rId3"/>
    <sheet name="1.3 Пожары" sheetId="16" r:id="rId4"/>
    <sheet name="1.4 Водные объекты" sheetId="22" r:id="rId5"/>
    <sheet name="1.5 дтп " sheetId="21" r:id="rId6"/>
    <sheet name="1.6 Заболевания людей" sheetId="18" r:id="rId7"/>
    <sheet name="1.7 Эпизоотии" sheetId="19" r:id="rId8"/>
    <sheet name="1.8 Эпифитотии" sheetId="20" r:id="rId9"/>
    <sheet name="1.9 ЦУКС" sheetId="28" r:id="rId10"/>
    <sheet name="1.10 Обращения" sheetId="49" r:id="rId11"/>
    <sheet name="1.11 ПАСФ" sheetId="30" r:id="rId12"/>
    <sheet name="1.12 СВФ" sheetId="31" r:id="rId13"/>
    <sheet name="1.13 РПП" sheetId="32" r:id="rId14"/>
    <sheet name="1.14 ВГCЧ" sheetId="33" r:id="rId15"/>
    <sheet name="1.15 ПфВЧ" sheetId="34" r:id="rId16"/>
    <sheet name="Таблица 1.3+" sheetId="3" state="hidden" r:id="rId17"/>
    <sheet name="1,3 разделенная" sheetId="17" state="hidden" r:id="rId18"/>
    <sheet name="1.16 СПО ФПС" sheetId="35" r:id="rId19"/>
    <sheet name="1.17 Психологи" sheetId="36" r:id="rId20"/>
    <sheet name="1.18 ДПО" sheetId="37" r:id="rId21"/>
    <sheet name="1.19 Надзор ЗНТЧС " sheetId="38" r:id="rId22"/>
    <sheet name="1.20 ГПН" sheetId="45" r:id="rId23"/>
    <sheet name="1.21 Лицензирование" sheetId="46" r:id="rId24"/>
    <sheet name="1.22 ГИМС" sheetId="47" r:id="rId25"/>
    <sheet name="1.23 ЧГР" sheetId="48" r:id="rId26"/>
    <sheet name="1.24 ГП ДНР ЛНР ХО ЗО" sheetId="39" r:id="rId27"/>
    <sheet name="1.25 авиац-е обесп-е" sheetId="40" r:id="rId28"/>
    <sheet name="1.26 БАС" sheetId="41" r:id="rId29"/>
    <sheet name="1.27 Показатель Риск" sheetId="42" r:id="rId30"/>
    <sheet name="1.28 Показатель ЗН от ЧС" sheetId="43" r:id="rId31"/>
    <sheet name="1.29 Сведения по ПОО" sheetId="44" r:id="rId32"/>
    <sheet name="Таблица 1.4+" sheetId="15" state="hidden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ftn1" localSheetId="0">'Таблица 1.1+ общее'!#REF!</definedName>
    <definedName name="_ftn2" localSheetId="0">'Таблица 1.1+ общее'!#REF!</definedName>
    <definedName name="_ftn3" localSheetId="0">'Таблица 1.1+ общее'!#REF!</definedName>
    <definedName name="_ftnref1" localSheetId="0">'Таблица 1.1+ общее'!#REF!</definedName>
    <definedName name="_ftnref2" localSheetId="0">'Таблица 1.1+ общее'!#REF!</definedName>
    <definedName name="_ftnref3" localSheetId="0">'Таблица 1.1+ общее'!#REF!</definedName>
    <definedName name="_xlcn.WorksheetConnection_Лист73A2B901" hidden="1">'[1]Лист7 (3)'!$A$2:$B$90</definedName>
  </definedNames>
  <calcPr calcId="145621"/>
</workbook>
</file>

<file path=xl/calcChain.xml><?xml version="1.0" encoding="utf-8"?>
<calcChain xmlns="http://schemas.openxmlformats.org/spreadsheetml/2006/main">
  <c r="D95" i="50" l="1"/>
  <c r="E95" i="50"/>
  <c r="F95" i="50"/>
  <c r="G95" i="50"/>
  <c r="H95" i="50"/>
  <c r="I95" i="50"/>
  <c r="J95" i="50"/>
  <c r="K95" i="50"/>
  <c r="L95" i="50"/>
  <c r="M95" i="50"/>
  <c r="N95" i="50"/>
  <c r="O95" i="50"/>
  <c r="C95" i="50"/>
  <c r="B95" i="50"/>
  <c r="B41" i="50" l="1"/>
  <c r="I41" i="50"/>
  <c r="C41" i="50"/>
  <c r="D41" i="50"/>
  <c r="E41" i="50"/>
  <c r="F41" i="50"/>
  <c r="G41" i="50"/>
  <c r="H41" i="50"/>
  <c r="J41" i="50"/>
  <c r="K41" i="50"/>
  <c r="L41" i="50"/>
  <c r="M41" i="50"/>
  <c r="N41" i="50"/>
  <c r="O41" i="50"/>
  <c r="F21" i="20" l="1"/>
  <c r="AB41" i="50" l="1"/>
  <c r="AA41" i="50"/>
  <c r="AB95" i="50"/>
  <c r="AA95" i="50"/>
  <c r="Y95" i="50"/>
  <c r="V95" i="50"/>
  <c r="S95" i="50"/>
  <c r="P95" i="50"/>
  <c r="P41" i="50"/>
  <c r="S41" i="50"/>
  <c r="Y41" i="50"/>
  <c r="V41" i="50"/>
  <c r="Z96" i="50" l="1"/>
  <c r="P96" i="50"/>
  <c r="AB94" i="50"/>
  <c r="AA94" i="50"/>
  <c r="Y94" i="50"/>
  <c r="V94" i="50"/>
  <c r="S94" i="50"/>
  <c r="P94" i="50"/>
  <c r="AB93" i="50"/>
  <c r="AA93" i="50"/>
  <c r="Y93" i="50"/>
  <c r="V93" i="50"/>
  <c r="S93" i="50"/>
  <c r="P93" i="50"/>
  <c r="AB92" i="50"/>
  <c r="AA92" i="50"/>
  <c r="Y92" i="50"/>
  <c r="V92" i="50"/>
  <c r="S92" i="50"/>
  <c r="P92" i="50"/>
  <c r="AB90" i="50"/>
  <c r="AA90" i="50"/>
  <c r="Y90" i="50"/>
  <c r="V90" i="50"/>
  <c r="S90" i="50"/>
  <c r="P90" i="50"/>
  <c r="AB89" i="50"/>
  <c r="AA89" i="50"/>
  <c r="Y89" i="50"/>
  <c r="V89" i="50"/>
  <c r="S89" i="50"/>
  <c r="P89" i="50"/>
  <c r="AB88" i="50"/>
  <c r="AA88" i="50"/>
  <c r="Y88" i="50"/>
  <c r="V88" i="50"/>
  <c r="S88" i="50"/>
  <c r="P88" i="50"/>
  <c r="AB87" i="50"/>
  <c r="AA87" i="50"/>
  <c r="Y87" i="50"/>
  <c r="V87" i="50"/>
  <c r="S87" i="50"/>
  <c r="P87" i="50"/>
  <c r="X86" i="50"/>
  <c r="W86" i="50"/>
  <c r="U86" i="50"/>
  <c r="T86" i="50"/>
  <c r="R86" i="50"/>
  <c r="Q86" i="50"/>
  <c r="P86" i="50"/>
  <c r="AB84" i="50"/>
  <c r="AA84" i="50"/>
  <c r="Y84" i="50"/>
  <c r="V84" i="50"/>
  <c r="S84" i="50"/>
  <c r="P84" i="50"/>
  <c r="AB83" i="50"/>
  <c r="AA83" i="50"/>
  <c r="Y83" i="50"/>
  <c r="V83" i="50"/>
  <c r="S83" i="50"/>
  <c r="P83" i="50"/>
  <c r="X82" i="50"/>
  <c r="Y82" i="50" s="1"/>
  <c r="W82" i="50"/>
  <c r="U82" i="50"/>
  <c r="T82" i="50"/>
  <c r="R82" i="50"/>
  <c r="AA82" i="50" s="1"/>
  <c r="Q82" i="50"/>
  <c r="P82" i="50"/>
  <c r="AB81" i="50"/>
  <c r="AA81" i="50"/>
  <c r="Y81" i="50"/>
  <c r="V81" i="50"/>
  <c r="S81" i="50"/>
  <c r="P81" i="50"/>
  <c r="AB80" i="50"/>
  <c r="AA80" i="50"/>
  <c r="Y80" i="50"/>
  <c r="V80" i="50"/>
  <c r="S80" i="50"/>
  <c r="P80" i="50"/>
  <c r="AB79" i="50"/>
  <c r="AA79" i="50"/>
  <c r="Y79" i="50"/>
  <c r="V79" i="50"/>
  <c r="S79" i="50"/>
  <c r="P79" i="50"/>
  <c r="AB78" i="50"/>
  <c r="AA78" i="50"/>
  <c r="Y78" i="50"/>
  <c r="V78" i="50"/>
  <c r="S78" i="50"/>
  <c r="P78" i="50"/>
  <c r="AB77" i="50"/>
  <c r="AA77" i="50"/>
  <c r="Y77" i="50"/>
  <c r="V77" i="50"/>
  <c r="S77" i="50"/>
  <c r="P77" i="50"/>
  <c r="AB76" i="50"/>
  <c r="AA76" i="50"/>
  <c r="Y76" i="50"/>
  <c r="V76" i="50"/>
  <c r="S76" i="50"/>
  <c r="P76" i="50"/>
  <c r="X75" i="50"/>
  <c r="W75" i="50"/>
  <c r="U75" i="50"/>
  <c r="T75" i="50"/>
  <c r="R75" i="50"/>
  <c r="Q75" i="50"/>
  <c r="P75" i="50"/>
  <c r="AB74" i="50"/>
  <c r="AA74" i="50"/>
  <c r="Y74" i="50"/>
  <c r="V74" i="50"/>
  <c r="S74" i="50"/>
  <c r="P74" i="50"/>
  <c r="AB73" i="50"/>
  <c r="AA73" i="50"/>
  <c r="Y73" i="50"/>
  <c r="V73" i="50"/>
  <c r="S73" i="50"/>
  <c r="P73" i="50"/>
  <c r="AB72" i="50"/>
  <c r="AA72" i="50"/>
  <c r="Y72" i="50"/>
  <c r="V72" i="50"/>
  <c r="S72" i="50"/>
  <c r="P72" i="50"/>
  <c r="AB71" i="50"/>
  <c r="AA71" i="50"/>
  <c r="Y71" i="50"/>
  <c r="V71" i="50"/>
  <c r="S71" i="50"/>
  <c r="P71" i="50"/>
  <c r="X70" i="50"/>
  <c r="W70" i="50"/>
  <c r="U70" i="50"/>
  <c r="V70" i="50" s="1"/>
  <c r="T70" i="50"/>
  <c r="R70" i="50"/>
  <c r="Q70" i="50"/>
  <c r="P70" i="50"/>
  <c r="AB68" i="50"/>
  <c r="AA68" i="50"/>
  <c r="Y68" i="50"/>
  <c r="V68" i="50"/>
  <c r="S68" i="50"/>
  <c r="P68" i="50"/>
  <c r="AB67" i="50"/>
  <c r="AA67" i="50"/>
  <c r="Y67" i="50"/>
  <c r="V67" i="50"/>
  <c r="S67" i="50"/>
  <c r="P67" i="50"/>
  <c r="AB66" i="50"/>
  <c r="AA66" i="50"/>
  <c r="Y66" i="50"/>
  <c r="V66" i="50"/>
  <c r="S66" i="50"/>
  <c r="P66" i="50"/>
  <c r="AB65" i="50"/>
  <c r="AA65" i="50"/>
  <c r="Y65" i="50"/>
  <c r="V65" i="50"/>
  <c r="S65" i="50"/>
  <c r="P65" i="50"/>
  <c r="AB64" i="50"/>
  <c r="AA64" i="50"/>
  <c r="Y64" i="50"/>
  <c r="V64" i="50"/>
  <c r="S64" i="50"/>
  <c r="P64" i="50"/>
  <c r="AB63" i="50"/>
  <c r="AA63" i="50"/>
  <c r="Y63" i="50"/>
  <c r="V63" i="50"/>
  <c r="S63" i="50"/>
  <c r="P63" i="50"/>
  <c r="AB62" i="50"/>
  <c r="AA62" i="50"/>
  <c r="Y62" i="50"/>
  <c r="V62" i="50"/>
  <c r="S62" i="50"/>
  <c r="P62" i="50"/>
  <c r="AB61" i="50"/>
  <c r="AA61" i="50"/>
  <c r="Y61" i="50"/>
  <c r="V61" i="50"/>
  <c r="S61" i="50"/>
  <c r="P61" i="50"/>
  <c r="AB60" i="50"/>
  <c r="AA60" i="50"/>
  <c r="Y60" i="50"/>
  <c r="V60" i="50"/>
  <c r="S60" i="50"/>
  <c r="P60" i="50"/>
  <c r="AB59" i="50"/>
  <c r="AA59" i="50"/>
  <c r="Y59" i="50"/>
  <c r="V59" i="50"/>
  <c r="S59" i="50"/>
  <c r="P59" i="50"/>
  <c r="AB58" i="50"/>
  <c r="AA58" i="50"/>
  <c r="Y58" i="50"/>
  <c r="V58" i="50"/>
  <c r="S58" i="50"/>
  <c r="P58" i="50"/>
  <c r="AB57" i="50"/>
  <c r="AA57" i="50"/>
  <c r="Y57" i="50"/>
  <c r="V57" i="50"/>
  <c r="S57" i="50"/>
  <c r="P57" i="50"/>
  <c r="AB56" i="50"/>
  <c r="AA56" i="50"/>
  <c r="Y56" i="50"/>
  <c r="V56" i="50"/>
  <c r="S56" i="50"/>
  <c r="P56" i="50"/>
  <c r="AB55" i="50"/>
  <c r="AA55" i="50"/>
  <c r="Y55" i="50"/>
  <c r="V55" i="50"/>
  <c r="S55" i="50"/>
  <c r="P55" i="50"/>
  <c r="AB54" i="50"/>
  <c r="AA54" i="50"/>
  <c r="Y54" i="50"/>
  <c r="V54" i="50"/>
  <c r="S54" i="50"/>
  <c r="P54" i="50"/>
  <c r="AB53" i="50"/>
  <c r="AA53" i="50"/>
  <c r="Y53" i="50"/>
  <c r="V53" i="50"/>
  <c r="S53" i="50"/>
  <c r="P53" i="50"/>
  <c r="AB52" i="50"/>
  <c r="AA52" i="50"/>
  <c r="Y52" i="50"/>
  <c r="V52" i="50"/>
  <c r="S52" i="50"/>
  <c r="P52" i="50"/>
  <c r="AB51" i="50"/>
  <c r="AA51" i="50"/>
  <c r="Y51" i="50"/>
  <c r="V51" i="50"/>
  <c r="S51" i="50"/>
  <c r="P51" i="50"/>
  <c r="AB50" i="50"/>
  <c r="AA50" i="50"/>
  <c r="Y50" i="50"/>
  <c r="V50" i="50"/>
  <c r="S50" i="50"/>
  <c r="P50" i="50"/>
  <c r="AB49" i="50"/>
  <c r="AA49" i="50"/>
  <c r="Y49" i="50"/>
  <c r="V49" i="50"/>
  <c r="S49" i="50"/>
  <c r="P49" i="50"/>
  <c r="AB48" i="50"/>
  <c r="AA48" i="50"/>
  <c r="Y48" i="50"/>
  <c r="V48" i="50"/>
  <c r="S48" i="50"/>
  <c r="P48" i="50"/>
  <c r="AB47" i="50"/>
  <c r="AA47" i="50"/>
  <c r="Y47" i="50"/>
  <c r="V47" i="50"/>
  <c r="S47" i="50"/>
  <c r="P47" i="50"/>
  <c r="X46" i="50"/>
  <c r="W46" i="50"/>
  <c r="U46" i="50"/>
  <c r="T46" i="50"/>
  <c r="R46" i="50"/>
  <c r="Q46" i="50"/>
  <c r="P46" i="50"/>
  <c r="AB45" i="50"/>
  <c r="AA45" i="50"/>
  <c r="Y45" i="50"/>
  <c r="V45" i="50"/>
  <c r="S45" i="50"/>
  <c r="P45" i="50"/>
  <c r="AB44" i="50"/>
  <c r="AA44" i="50"/>
  <c r="Y44" i="50"/>
  <c r="V44" i="50"/>
  <c r="S44" i="50"/>
  <c r="P44" i="50"/>
  <c r="X43" i="50"/>
  <c r="AB43" i="50" s="1"/>
  <c r="W43" i="50"/>
  <c r="U43" i="50"/>
  <c r="T43" i="50"/>
  <c r="R43" i="50"/>
  <c r="AA43" i="50" s="1"/>
  <c r="Q43" i="50"/>
  <c r="P43" i="50"/>
  <c r="AB40" i="50"/>
  <c r="AA40" i="50"/>
  <c r="Y40" i="50"/>
  <c r="V40" i="50"/>
  <c r="S40" i="50"/>
  <c r="P40" i="50"/>
  <c r="X39" i="50"/>
  <c r="W39" i="50"/>
  <c r="U39" i="50"/>
  <c r="T39" i="50"/>
  <c r="R39" i="50"/>
  <c r="Q39" i="50"/>
  <c r="P39" i="50"/>
  <c r="AB38" i="50"/>
  <c r="AA38" i="50"/>
  <c r="Y38" i="50"/>
  <c r="V38" i="50"/>
  <c r="S38" i="50"/>
  <c r="P38" i="50"/>
  <c r="X37" i="50"/>
  <c r="W37" i="50"/>
  <c r="U37" i="50"/>
  <c r="T37" i="50"/>
  <c r="R37" i="50"/>
  <c r="Q37" i="50"/>
  <c r="P37" i="50"/>
  <c r="AB36" i="50"/>
  <c r="AA36" i="50"/>
  <c r="Y36" i="50"/>
  <c r="V36" i="50"/>
  <c r="S36" i="50"/>
  <c r="P36" i="50"/>
  <c r="AB35" i="50"/>
  <c r="AA35" i="50"/>
  <c r="Y35" i="50"/>
  <c r="V35" i="50"/>
  <c r="S35" i="50"/>
  <c r="P35" i="50"/>
  <c r="AB34" i="50"/>
  <c r="AA34" i="50"/>
  <c r="Y34" i="50"/>
  <c r="V34" i="50"/>
  <c r="S34" i="50"/>
  <c r="P34" i="50"/>
  <c r="X33" i="50"/>
  <c r="W33" i="50"/>
  <c r="U33" i="50"/>
  <c r="T33" i="50"/>
  <c r="R33" i="50"/>
  <c r="Q33" i="50"/>
  <c r="P33" i="50"/>
  <c r="AB32" i="50"/>
  <c r="AA32" i="50"/>
  <c r="Y32" i="50"/>
  <c r="V32" i="50"/>
  <c r="S32" i="50"/>
  <c r="P32" i="50"/>
  <c r="X31" i="50"/>
  <c r="W31" i="50"/>
  <c r="U31" i="50"/>
  <c r="T31" i="50"/>
  <c r="R31" i="50"/>
  <c r="Q31" i="50"/>
  <c r="P31" i="50"/>
  <c r="AB30" i="50"/>
  <c r="AA30" i="50"/>
  <c r="Y30" i="50"/>
  <c r="V30" i="50"/>
  <c r="S30" i="50"/>
  <c r="P30" i="50"/>
  <c r="AB29" i="50"/>
  <c r="AA29" i="50"/>
  <c r="Y29" i="50"/>
  <c r="V29" i="50"/>
  <c r="S29" i="50"/>
  <c r="P29" i="50"/>
  <c r="AB28" i="50"/>
  <c r="AA28" i="50"/>
  <c r="Y28" i="50"/>
  <c r="V28" i="50"/>
  <c r="S28" i="50"/>
  <c r="P28" i="50"/>
  <c r="X27" i="50"/>
  <c r="W27" i="50"/>
  <c r="U27" i="50"/>
  <c r="T27" i="50"/>
  <c r="R27" i="50"/>
  <c r="Q27" i="50"/>
  <c r="P27" i="50"/>
  <c r="AB26" i="50"/>
  <c r="AA26" i="50"/>
  <c r="Y26" i="50"/>
  <c r="V26" i="50"/>
  <c r="S26" i="50"/>
  <c r="P26" i="50"/>
  <c r="AB25" i="50"/>
  <c r="AA25" i="50"/>
  <c r="Y25" i="50"/>
  <c r="V25" i="50"/>
  <c r="S25" i="50"/>
  <c r="P25" i="50"/>
  <c r="AB24" i="50"/>
  <c r="AA24" i="50"/>
  <c r="Y24" i="50"/>
  <c r="V24" i="50"/>
  <c r="S24" i="50"/>
  <c r="P24" i="50"/>
  <c r="X23" i="50"/>
  <c r="W23" i="50"/>
  <c r="U23" i="50"/>
  <c r="T23" i="50"/>
  <c r="R23" i="50"/>
  <c r="Q23" i="50"/>
  <c r="P23" i="50"/>
  <c r="AB22" i="50"/>
  <c r="AA22" i="50"/>
  <c r="Y22" i="50"/>
  <c r="V22" i="50"/>
  <c r="S22" i="50"/>
  <c r="P22" i="50"/>
  <c r="AB21" i="50"/>
  <c r="AA21" i="50"/>
  <c r="Y21" i="50"/>
  <c r="V21" i="50"/>
  <c r="S21" i="50"/>
  <c r="P21" i="50"/>
  <c r="AB20" i="50"/>
  <c r="AA20" i="50"/>
  <c r="Y20" i="50"/>
  <c r="V20" i="50"/>
  <c r="S20" i="50"/>
  <c r="P20" i="50"/>
  <c r="AB19" i="50"/>
  <c r="AA19" i="50"/>
  <c r="Y19" i="50"/>
  <c r="V19" i="50"/>
  <c r="S19" i="50"/>
  <c r="P19" i="50"/>
  <c r="AB18" i="50"/>
  <c r="AA18" i="50"/>
  <c r="Y18" i="50"/>
  <c r="V18" i="50"/>
  <c r="S18" i="50"/>
  <c r="P18" i="50"/>
  <c r="AB17" i="50"/>
  <c r="AA17" i="50"/>
  <c r="Y17" i="50"/>
  <c r="V17" i="50"/>
  <c r="S17" i="50"/>
  <c r="P17" i="50"/>
  <c r="AB16" i="50"/>
  <c r="AA16" i="50"/>
  <c r="Y16" i="50"/>
  <c r="V16" i="50"/>
  <c r="S16" i="50"/>
  <c r="P16" i="50"/>
  <c r="X15" i="50"/>
  <c r="W15" i="50"/>
  <c r="U15" i="50"/>
  <c r="T15" i="50"/>
  <c r="R15" i="50"/>
  <c r="Q15" i="50"/>
  <c r="P15" i="50"/>
  <c r="AB14" i="50"/>
  <c r="AA14" i="50"/>
  <c r="Y14" i="50"/>
  <c r="V14" i="50"/>
  <c r="S14" i="50"/>
  <c r="P14" i="50"/>
  <c r="AB13" i="50"/>
  <c r="AA13" i="50"/>
  <c r="Y13" i="50"/>
  <c r="V13" i="50"/>
  <c r="S13" i="50"/>
  <c r="P13" i="50"/>
  <c r="AB12" i="50"/>
  <c r="AA12" i="50"/>
  <c r="Y12" i="50"/>
  <c r="V12" i="50"/>
  <c r="S12" i="50"/>
  <c r="P12" i="50"/>
  <c r="AB11" i="50"/>
  <c r="AA11" i="50"/>
  <c r="Y11" i="50"/>
  <c r="V11" i="50"/>
  <c r="S11" i="50"/>
  <c r="P11" i="50"/>
  <c r="AB10" i="50"/>
  <c r="AA10" i="50"/>
  <c r="Y10" i="50"/>
  <c r="V10" i="50"/>
  <c r="S10" i="50"/>
  <c r="P10" i="50"/>
  <c r="AB9" i="50"/>
  <c r="AA9" i="50"/>
  <c r="Y9" i="50"/>
  <c r="V9" i="50"/>
  <c r="S9" i="50"/>
  <c r="P9" i="50"/>
  <c r="AB8" i="50"/>
  <c r="AA8" i="50"/>
  <c r="Y8" i="50"/>
  <c r="V8" i="50"/>
  <c r="S8" i="50"/>
  <c r="P8" i="50"/>
  <c r="AB7" i="50"/>
  <c r="AA7" i="50"/>
  <c r="Y7" i="50"/>
  <c r="V7" i="50"/>
  <c r="S7" i="50"/>
  <c r="P7" i="50"/>
  <c r="X6" i="50"/>
  <c r="W6" i="50"/>
  <c r="U6" i="50"/>
  <c r="T6" i="50"/>
  <c r="R6" i="50"/>
  <c r="Q6" i="50"/>
  <c r="P6" i="50"/>
  <c r="AA6" i="50" l="1"/>
  <c r="AB6" i="50"/>
  <c r="S23" i="50"/>
  <c r="V31" i="50"/>
  <c r="Y37" i="50"/>
  <c r="AA15" i="50"/>
  <c r="Y15" i="50"/>
  <c r="V27" i="50"/>
  <c r="V23" i="50"/>
  <c r="AA39" i="50"/>
  <c r="Y39" i="50"/>
  <c r="V46" i="50"/>
  <c r="AA75" i="50"/>
  <c r="Y75" i="50"/>
  <c r="V86" i="50"/>
  <c r="S31" i="50"/>
  <c r="Y31" i="50"/>
  <c r="V37" i="50"/>
  <c r="V33" i="50"/>
  <c r="AB23" i="50"/>
  <c r="V15" i="50"/>
  <c r="Y23" i="50"/>
  <c r="AB33" i="50"/>
  <c r="AA70" i="50"/>
  <c r="AB70" i="50"/>
  <c r="V82" i="50"/>
  <c r="Q96" i="50"/>
  <c r="V6" i="50"/>
  <c r="AA27" i="50"/>
  <c r="AB27" i="50"/>
  <c r="R96" i="50"/>
  <c r="S96" i="50" s="1"/>
  <c r="W96" i="50"/>
  <c r="V39" i="50"/>
  <c r="AA46" i="50"/>
  <c r="Y46" i="50"/>
  <c r="V75" i="50"/>
  <c r="AA86" i="50"/>
  <c r="X96" i="50"/>
  <c r="AA33" i="50"/>
  <c r="V43" i="50"/>
  <c r="AB31" i="50"/>
  <c r="S39" i="50"/>
  <c r="T96" i="50"/>
  <c r="AB46" i="50"/>
  <c r="AA31" i="50"/>
  <c r="AA37" i="50"/>
  <c r="Y6" i="50"/>
  <c r="Y27" i="50"/>
  <c r="Y33" i="50"/>
  <c r="S37" i="50"/>
  <c r="AB37" i="50"/>
  <c r="Y43" i="50"/>
  <c r="Y70" i="50"/>
  <c r="S6" i="50"/>
  <c r="S15" i="50"/>
  <c r="AB15" i="50"/>
  <c r="S27" i="50"/>
  <c r="S33" i="50"/>
  <c r="AB39" i="50"/>
  <c r="S43" i="50"/>
  <c r="S46" i="50"/>
  <c r="S70" i="50"/>
  <c r="S75" i="50"/>
  <c r="AB75" i="50"/>
  <c r="S82" i="50"/>
  <c r="AB82" i="50"/>
  <c r="S86" i="50"/>
  <c r="AB86" i="50"/>
  <c r="U96" i="50"/>
  <c r="AA23" i="50"/>
  <c r="Y86" i="50"/>
  <c r="B23" i="49"/>
  <c r="C22" i="49" s="1"/>
  <c r="C11" i="49"/>
  <c r="C7" i="49"/>
  <c r="Y96" i="50" l="1"/>
  <c r="V96" i="50"/>
  <c r="AA96" i="50"/>
  <c r="AB96" i="50"/>
  <c r="C15" i="49"/>
  <c r="C19" i="49"/>
  <c r="C8" i="49"/>
  <c r="C12" i="49"/>
  <c r="C16" i="49"/>
  <c r="C20" i="49"/>
  <c r="C9" i="49"/>
  <c r="C13" i="49"/>
  <c r="C17" i="49"/>
  <c r="C21" i="49"/>
  <c r="C6" i="49"/>
  <c r="C23" i="49" s="1"/>
  <c r="C10" i="49"/>
  <c r="C14" i="49"/>
  <c r="C18" i="49"/>
  <c r="L96" i="16" l="1"/>
  <c r="J96" i="16"/>
  <c r="H96" i="16"/>
  <c r="F96" i="16"/>
  <c r="D96" i="16"/>
  <c r="G100" i="42" l="1"/>
  <c r="G99" i="42"/>
  <c r="G98" i="42"/>
  <c r="G97" i="42"/>
  <c r="K96" i="21"/>
  <c r="J96" i="21"/>
  <c r="I96" i="21"/>
  <c r="H96" i="21"/>
  <c r="G96" i="21"/>
  <c r="F96" i="21"/>
  <c r="E96" i="21"/>
  <c r="D96" i="21"/>
  <c r="J96" i="22"/>
  <c r="I96" i="22"/>
  <c r="H96" i="22"/>
  <c r="G96" i="22"/>
  <c r="F96" i="22"/>
  <c r="E96" i="22"/>
  <c r="D96" i="22"/>
  <c r="C96" i="22"/>
  <c r="B3" i="42" l="1"/>
  <c r="C3" i="42"/>
  <c r="D3" i="42"/>
  <c r="F4" i="42"/>
  <c r="G4" i="42"/>
  <c r="F5" i="42"/>
  <c r="G5" i="42"/>
  <c r="F6" i="42"/>
  <c r="G6" i="42"/>
  <c r="F7" i="42"/>
  <c r="G7" i="42"/>
  <c r="F8" i="42"/>
  <c r="G8" i="42"/>
  <c r="F9" i="42"/>
  <c r="G9" i="42"/>
  <c r="F10" i="42"/>
  <c r="G10" i="42"/>
  <c r="F11" i="42"/>
  <c r="G11" i="42"/>
  <c r="F12" i="42"/>
  <c r="G12" i="42"/>
  <c r="F13" i="42"/>
  <c r="G13" i="42"/>
  <c r="F14" i="42"/>
  <c r="G14" i="42"/>
  <c r="B15" i="42"/>
  <c r="C15" i="42"/>
  <c r="D15" i="42"/>
  <c r="F16" i="42"/>
  <c r="G16" i="42"/>
  <c r="F17" i="42"/>
  <c r="G17" i="42"/>
  <c r="F18" i="42"/>
  <c r="G18" i="42"/>
  <c r="F19" i="42"/>
  <c r="G19" i="42"/>
  <c r="F20" i="42"/>
  <c r="G20" i="42"/>
  <c r="F21" i="42"/>
  <c r="G21" i="42"/>
  <c r="F22" i="42"/>
  <c r="G22" i="42"/>
  <c r="F23" i="42"/>
  <c r="G23" i="42"/>
  <c r="F24" i="42"/>
  <c r="G24" i="42"/>
  <c r="F25" i="42"/>
  <c r="G25" i="42"/>
  <c r="B26" i="42"/>
  <c r="C26" i="42"/>
  <c r="D26" i="42"/>
  <c r="F27" i="42"/>
  <c r="G27" i="42"/>
  <c r="F28" i="42"/>
  <c r="G28" i="42"/>
  <c r="F29" i="42"/>
  <c r="G29" i="42"/>
  <c r="F30" i="42"/>
  <c r="G30" i="42"/>
  <c r="F31" i="42"/>
  <c r="G31" i="42"/>
  <c r="F32" i="42"/>
  <c r="G32" i="42"/>
  <c r="B33" i="42"/>
  <c r="C33" i="42"/>
  <c r="D33" i="42"/>
  <c r="F34" i="42"/>
  <c r="G34" i="42"/>
  <c r="F35" i="42"/>
  <c r="G35" i="42"/>
  <c r="F36" i="42"/>
  <c r="G36" i="42"/>
  <c r="F37" i="42"/>
  <c r="G37" i="42"/>
  <c r="F38" i="42"/>
  <c r="G38" i="42"/>
  <c r="F39" i="42"/>
  <c r="G39" i="42"/>
  <c r="F40" i="42"/>
  <c r="G40" i="42"/>
  <c r="F41" i="42"/>
  <c r="G41" i="42"/>
  <c r="F42" i="42"/>
  <c r="G42" i="42"/>
  <c r="F43" i="42"/>
  <c r="G43" i="42"/>
  <c r="F44" i="42"/>
  <c r="G44" i="42"/>
  <c r="F45" i="42"/>
  <c r="G45" i="42"/>
  <c r="F46" i="42"/>
  <c r="G46" i="42"/>
  <c r="F47" i="42"/>
  <c r="G47" i="42"/>
  <c r="B48" i="42"/>
  <c r="C48" i="42"/>
  <c r="D48" i="42"/>
  <c r="F49" i="42"/>
  <c r="G49" i="42"/>
  <c r="F50" i="42"/>
  <c r="G50" i="42"/>
  <c r="F51" i="42"/>
  <c r="G51" i="42"/>
  <c r="F52" i="42"/>
  <c r="G52" i="42"/>
  <c r="F53" i="42"/>
  <c r="G53" i="42"/>
  <c r="F54" i="42"/>
  <c r="G54" i="42"/>
  <c r="F55" i="42"/>
  <c r="G55" i="42"/>
  <c r="F56" i="42"/>
  <c r="G56" i="42"/>
  <c r="B57" i="42"/>
  <c r="C57" i="42"/>
  <c r="D57" i="42"/>
  <c r="F58" i="42"/>
  <c r="G58" i="42"/>
  <c r="F59" i="42"/>
  <c r="G59" i="42"/>
  <c r="F60" i="42"/>
  <c r="G60" i="42"/>
  <c r="F61" i="42"/>
  <c r="G61" i="42"/>
  <c r="F62" i="42"/>
  <c r="G62" i="42"/>
  <c r="F63" i="42"/>
  <c r="G63" i="42"/>
  <c r="F64" i="42"/>
  <c r="G64" i="42"/>
  <c r="B65" i="42"/>
  <c r="C65" i="42"/>
  <c r="E65" i="42" s="1"/>
  <c r="D65" i="42"/>
  <c r="F66" i="42"/>
  <c r="G66" i="42"/>
  <c r="F67" i="42"/>
  <c r="G67" i="42"/>
  <c r="F68" i="42"/>
  <c r="G68" i="42"/>
  <c r="F69" i="42"/>
  <c r="G69" i="42"/>
  <c r="F70" i="42"/>
  <c r="G70" i="42"/>
  <c r="F71" i="42"/>
  <c r="G71" i="42"/>
  <c r="F72" i="42"/>
  <c r="G72" i="42"/>
  <c r="F73" i="42"/>
  <c r="G73" i="42"/>
  <c r="F74" i="42"/>
  <c r="G74" i="42"/>
  <c r="F75" i="42"/>
  <c r="G75" i="42"/>
  <c r="F76" i="42"/>
  <c r="G76" i="42"/>
  <c r="B77" i="42"/>
  <c r="C77" i="42"/>
  <c r="D77" i="42"/>
  <c r="E77" i="42" s="1"/>
  <c r="F77" i="42" s="1"/>
  <c r="F78" i="42"/>
  <c r="G78" i="42"/>
  <c r="F79" i="42"/>
  <c r="G79" i="42"/>
  <c r="F80" i="42"/>
  <c r="G80" i="42"/>
  <c r="F81" i="42"/>
  <c r="G81" i="42"/>
  <c r="F82" i="42"/>
  <c r="G82" i="42"/>
  <c r="F83" i="42"/>
  <c r="G83" i="42"/>
  <c r="F84" i="42"/>
  <c r="G84" i="42"/>
  <c r="F85" i="42"/>
  <c r="G85" i="42"/>
  <c r="F86" i="42"/>
  <c r="G86" i="42"/>
  <c r="F87" i="42"/>
  <c r="G87" i="42"/>
  <c r="F88" i="42"/>
  <c r="G88" i="42"/>
  <c r="F89" i="42"/>
  <c r="G89" i="42"/>
  <c r="F90" i="42"/>
  <c r="G90" i="42"/>
  <c r="F91" i="42"/>
  <c r="G91" i="42"/>
  <c r="F92" i="42"/>
  <c r="G92" i="42"/>
  <c r="F93" i="42"/>
  <c r="G93" i="42"/>
  <c r="F94" i="42"/>
  <c r="G94" i="42"/>
  <c r="F95" i="42"/>
  <c r="G95" i="42"/>
  <c r="G101" i="42"/>
  <c r="B101" i="42" l="1"/>
  <c r="B96" i="42" s="1"/>
  <c r="E96" i="42" s="1"/>
  <c r="E33" i="42"/>
  <c r="F33" i="42" s="1"/>
  <c r="E15" i="42"/>
  <c r="F15" i="42" s="1"/>
  <c r="E3" i="42"/>
  <c r="F65" i="42"/>
  <c r="E57" i="42"/>
  <c r="F57" i="42" s="1"/>
  <c r="E26" i="42"/>
  <c r="F26" i="42" s="1"/>
  <c r="F3" i="42"/>
  <c r="E48" i="42"/>
  <c r="F48" i="42" s="1"/>
  <c r="L102" i="42"/>
  <c r="L103" i="42"/>
  <c r="L104" i="42"/>
  <c r="L101" i="42"/>
  <c r="D10" i="32"/>
  <c r="D10" i="31"/>
  <c r="D10" i="30"/>
  <c r="E101" i="42" l="1"/>
  <c r="F101" i="42" s="1"/>
  <c r="H43" i="18" l="1"/>
  <c r="J43" i="18"/>
  <c r="D77" i="2"/>
  <c r="E77" i="2"/>
  <c r="F77" i="2"/>
  <c r="G77" i="2"/>
  <c r="H77" i="2"/>
  <c r="I77" i="2"/>
  <c r="D65" i="2"/>
  <c r="E65" i="2"/>
  <c r="F65" i="2"/>
  <c r="G65" i="2"/>
  <c r="H65" i="2"/>
  <c r="I65" i="2"/>
  <c r="D57" i="2"/>
  <c r="E57" i="2"/>
  <c r="F57" i="2"/>
  <c r="G57" i="2"/>
  <c r="H57" i="2"/>
  <c r="I57" i="2"/>
  <c r="D48" i="2"/>
  <c r="E48" i="2"/>
  <c r="F48" i="2"/>
  <c r="G48" i="2"/>
  <c r="H48" i="2"/>
  <c r="I48" i="2"/>
  <c r="D33" i="2"/>
  <c r="E33" i="2"/>
  <c r="F33" i="2"/>
  <c r="G33" i="2"/>
  <c r="H33" i="2"/>
  <c r="I33" i="2"/>
  <c r="D26" i="2"/>
  <c r="E26" i="2"/>
  <c r="F26" i="2"/>
  <c r="G26" i="2"/>
  <c r="H26" i="2"/>
  <c r="I26" i="2"/>
  <c r="D15" i="2"/>
  <c r="E15" i="2"/>
  <c r="F15" i="2"/>
  <c r="G15" i="2"/>
  <c r="H15" i="2"/>
  <c r="I15" i="2"/>
  <c r="I3" i="2"/>
  <c r="D3" i="2"/>
  <c r="E3" i="2"/>
  <c r="F3" i="2"/>
  <c r="G3" i="2"/>
  <c r="H3" i="2"/>
  <c r="C3" i="2"/>
  <c r="J77" i="22" l="1"/>
  <c r="I77" i="22"/>
  <c r="H77" i="22"/>
  <c r="G77" i="22"/>
  <c r="F77" i="22"/>
  <c r="E77" i="22"/>
  <c r="D77" i="22"/>
  <c r="C77" i="22"/>
  <c r="J65" i="22"/>
  <c r="I65" i="22"/>
  <c r="H65" i="22"/>
  <c r="G65" i="22"/>
  <c r="F65" i="22"/>
  <c r="E65" i="22"/>
  <c r="D65" i="22"/>
  <c r="C65" i="22"/>
  <c r="J57" i="22"/>
  <c r="I57" i="22"/>
  <c r="H57" i="22"/>
  <c r="G57" i="22"/>
  <c r="F57" i="22"/>
  <c r="E57" i="22"/>
  <c r="D57" i="22"/>
  <c r="C57" i="22"/>
  <c r="J48" i="22"/>
  <c r="I48" i="22"/>
  <c r="H48" i="22"/>
  <c r="G48" i="22"/>
  <c r="F48" i="22"/>
  <c r="E48" i="22"/>
  <c r="D48" i="22"/>
  <c r="C48" i="22"/>
  <c r="J33" i="22"/>
  <c r="I33" i="22"/>
  <c r="H33" i="22"/>
  <c r="G33" i="22"/>
  <c r="F33" i="22"/>
  <c r="E33" i="22"/>
  <c r="D33" i="22"/>
  <c r="C33" i="22"/>
  <c r="J26" i="22"/>
  <c r="I26" i="22"/>
  <c r="H26" i="22"/>
  <c r="G26" i="22"/>
  <c r="F26" i="22"/>
  <c r="E26" i="22"/>
  <c r="D26" i="22"/>
  <c r="C26" i="22"/>
  <c r="J15" i="22"/>
  <c r="I15" i="22"/>
  <c r="H15" i="22"/>
  <c r="G15" i="22"/>
  <c r="F15" i="22"/>
  <c r="E15" i="22"/>
  <c r="D15" i="22"/>
  <c r="C15" i="22"/>
  <c r="J3" i="22"/>
  <c r="J101" i="22" s="1"/>
  <c r="I3" i="22"/>
  <c r="I101" i="22" s="1"/>
  <c r="H3" i="22"/>
  <c r="H101" i="22" s="1"/>
  <c r="G3" i="22"/>
  <c r="G101" i="22" s="1"/>
  <c r="F3" i="22"/>
  <c r="E3" i="22"/>
  <c r="E101" i="22" s="1"/>
  <c r="D3" i="22"/>
  <c r="D101" i="22" s="1"/>
  <c r="C3" i="22"/>
  <c r="E23" i="20"/>
  <c r="Q3" i="16"/>
  <c r="R3" i="16"/>
  <c r="R101" i="16" s="1"/>
  <c r="S3" i="16"/>
  <c r="T3" i="16"/>
  <c r="U3" i="16"/>
  <c r="V3" i="16"/>
  <c r="W3" i="16"/>
  <c r="D3" i="16"/>
  <c r="F3" i="16"/>
  <c r="H3" i="16"/>
  <c r="J3" i="16"/>
  <c r="L3" i="16"/>
  <c r="E3" i="21"/>
  <c r="F3" i="21"/>
  <c r="G3" i="21"/>
  <c r="H3" i="21"/>
  <c r="I3" i="21"/>
  <c r="J3" i="21"/>
  <c r="J101" i="21" s="1"/>
  <c r="K3" i="21"/>
  <c r="K101" i="21" s="1"/>
  <c r="K77" i="21"/>
  <c r="J77" i="21"/>
  <c r="I77" i="21"/>
  <c r="H77" i="21"/>
  <c r="G77" i="21"/>
  <c r="F77" i="21"/>
  <c r="E77" i="21"/>
  <c r="D77" i="21"/>
  <c r="K65" i="21"/>
  <c r="J65" i="21"/>
  <c r="I65" i="21"/>
  <c r="H65" i="21"/>
  <c r="G65" i="21"/>
  <c r="F65" i="21"/>
  <c r="E65" i="21"/>
  <c r="D65" i="21"/>
  <c r="K57" i="21"/>
  <c r="J57" i="21"/>
  <c r="I57" i="21"/>
  <c r="H57" i="21"/>
  <c r="G57" i="21"/>
  <c r="F57" i="21"/>
  <c r="E57" i="21"/>
  <c r="D57" i="21"/>
  <c r="K48" i="21"/>
  <c r="J48" i="21"/>
  <c r="I48" i="21"/>
  <c r="H48" i="21"/>
  <c r="G48" i="21"/>
  <c r="F48" i="21"/>
  <c r="E48" i="21"/>
  <c r="D48" i="21"/>
  <c r="K33" i="21"/>
  <c r="J33" i="21"/>
  <c r="I33" i="21"/>
  <c r="H33" i="21"/>
  <c r="G33" i="21"/>
  <c r="F33" i="21"/>
  <c r="E33" i="21"/>
  <c r="D33" i="21"/>
  <c r="K26" i="21"/>
  <c r="J26" i="21"/>
  <c r="I26" i="21"/>
  <c r="H26" i="21"/>
  <c r="G26" i="21"/>
  <c r="F26" i="21"/>
  <c r="E26" i="21"/>
  <c r="D26" i="21"/>
  <c r="K15" i="21"/>
  <c r="J15" i="21"/>
  <c r="I15" i="21"/>
  <c r="H15" i="21"/>
  <c r="G15" i="21"/>
  <c r="F15" i="21"/>
  <c r="E15" i="21"/>
  <c r="D15" i="21"/>
  <c r="D3" i="21"/>
  <c r="W77" i="16"/>
  <c r="V77" i="16"/>
  <c r="U77" i="16"/>
  <c r="T77" i="16"/>
  <c r="S77" i="16"/>
  <c r="R77" i="16"/>
  <c r="Q77" i="16"/>
  <c r="P77" i="16"/>
  <c r="W65" i="16"/>
  <c r="V65" i="16"/>
  <c r="U65" i="16"/>
  <c r="T65" i="16"/>
  <c r="S65" i="16"/>
  <c r="R65" i="16"/>
  <c r="Q65" i="16"/>
  <c r="P65" i="16"/>
  <c r="W57" i="16"/>
  <c r="V57" i="16"/>
  <c r="U57" i="16"/>
  <c r="T57" i="16"/>
  <c r="S57" i="16"/>
  <c r="R57" i="16"/>
  <c r="Q57" i="16"/>
  <c r="P57" i="16"/>
  <c r="W48" i="16"/>
  <c r="V48" i="16"/>
  <c r="U48" i="16"/>
  <c r="T48" i="16"/>
  <c r="S48" i="16"/>
  <c r="R48" i="16"/>
  <c r="Q48" i="16"/>
  <c r="P48" i="16"/>
  <c r="W33" i="16"/>
  <c r="V33" i="16"/>
  <c r="U33" i="16"/>
  <c r="T33" i="16"/>
  <c r="S33" i="16"/>
  <c r="R33" i="16"/>
  <c r="Q33" i="16"/>
  <c r="P33" i="16"/>
  <c r="W26" i="16"/>
  <c r="V26" i="16"/>
  <c r="U26" i="16"/>
  <c r="T26" i="16"/>
  <c r="S26" i="16"/>
  <c r="R26" i="16"/>
  <c r="Q26" i="16"/>
  <c r="P26" i="16"/>
  <c r="W15" i="16"/>
  <c r="V15" i="16"/>
  <c r="U15" i="16"/>
  <c r="T15" i="16"/>
  <c r="S15" i="16"/>
  <c r="R15" i="16"/>
  <c r="Q15" i="16"/>
  <c r="P15" i="16"/>
  <c r="P3" i="16"/>
  <c r="P101" i="16" s="1"/>
  <c r="D90" i="15"/>
  <c r="D91" i="15"/>
  <c r="D45" i="15"/>
  <c r="D46" i="15"/>
  <c r="D47" i="15"/>
  <c r="D48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8" i="15"/>
  <c r="D69" i="15"/>
  <c r="D70" i="15"/>
  <c r="D71" i="15"/>
  <c r="D73" i="15"/>
  <c r="D74" i="15"/>
  <c r="D75" i="15"/>
  <c r="D76" i="15"/>
  <c r="D77" i="15"/>
  <c r="D78" i="15"/>
  <c r="D80" i="15"/>
  <c r="D81" i="15"/>
  <c r="D83" i="15"/>
  <c r="D84" i="15"/>
  <c r="D85" i="15"/>
  <c r="D86" i="15"/>
  <c r="D42" i="15"/>
  <c r="D43" i="15"/>
  <c r="D5" i="15"/>
  <c r="D6" i="15"/>
  <c r="D7" i="15"/>
  <c r="D8" i="15"/>
  <c r="D9" i="15"/>
  <c r="D10" i="15"/>
  <c r="D11" i="15"/>
  <c r="D12" i="15"/>
  <c r="D14" i="15"/>
  <c r="D15" i="15"/>
  <c r="D16" i="15"/>
  <c r="D17" i="15"/>
  <c r="D18" i="15"/>
  <c r="D19" i="15"/>
  <c r="D20" i="15"/>
  <c r="D22" i="15"/>
  <c r="D23" i="15"/>
  <c r="D24" i="15"/>
  <c r="D26" i="15"/>
  <c r="D27" i="15"/>
  <c r="D28" i="15"/>
  <c r="D30" i="15"/>
  <c r="D32" i="15"/>
  <c r="D33" i="15"/>
  <c r="D34" i="15"/>
  <c r="D36" i="15"/>
  <c r="D38" i="15"/>
  <c r="F23" i="20"/>
  <c r="D23" i="20"/>
  <c r="C23" i="20"/>
  <c r="J42" i="18"/>
  <c r="H42" i="18"/>
  <c r="J41" i="18"/>
  <c r="H41" i="18"/>
  <c r="J40" i="18"/>
  <c r="H40" i="18"/>
  <c r="D101" i="21" l="1"/>
  <c r="H101" i="21"/>
  <c r="V101" i="16"/>
  <c r="T101" i="16"/>
  <c r="W101" i="16"/>
  <c r="S101" i="16"/>
  <c r="U101" i="16"/>
  <c r="Q101" i="16"/>
  <c r="J44" i="18"/>
  <c r="G101" i="21"/>
  <c r="F101" i="21"/>
  <c r="H44" i="18"/>
  <c r="I101" i="21"/>
  <c r="E101" i="21"/>
  <c r="C101" i="22"/>
  <c r="F101" i="22"/>
  <c r="AT8" i="17"/>
  <c r="AS8" i="17"/>
  <c r="AQ8" i="17"/>
  <c r="AP8" i="17"/>
  <c r="AN8" i="17"/>
  <c r="AM8" i="17"/>
  <c r="AK8" i="17"/>
  <c r="AJ8" i="17"/>
  <c r="AX7" i="17"/>
  <c r="AW7" i="17"/>
  <c r="AV7" i="17"/>
  <c r="AL7" i="17"/>
  <c r="AX6" i="17"/>
  <c r="AW6" i="17"/>
  <c r="AV6" i="17"/>
  <c r="AR6" i="17"/>
  <c r="AL6" i="17"/>
  <c r="AX5" i="17"/>
  <c r="AW5" i="17"/>
  <c r="AV5" i="17"/>
  <c r="AR5" i="17"/>
  <c r="AL5" i="17"/>
  <c r="AG50" i="17"/>
  <c r="AF50" i="17"/>
  <c r="AE50" i="17"/>
  <c r="AG49" i="17"/>
  <c r="AF49" i="17"/>
  <c r="AE49" i="17"/>
  <c r="AG48" i="17"/>
  <c r="AF48" i="17"/>
  <c r="AE48" i="17"/>
  <c r="AG47" i="17"/>
  <c r="AF47" i="17"/>
  <c r="AE47" i="17"/>
  <c r="AC46" i="17"/>
  <c r="AB46" i="17"/>
  <c r="Z46" i="17"/>
  <c r="Y46" i="17"/>
  <c r="W46" i="17"/>
  <c r="AF46" i="17" s="1"/>
  <c r="V46" i="17"/>
  <c r="T46" i="17"/>
  <c r="S46" i="17"/>
  <c r="AG45" i="17"/>
  <c r="AF45" i="17"/>
  <c r="AE45" i="17"/>
  <c r="AG44" i="17"/>
  <c r="AF44" i="17"/>
  <c r="AE44" i="17"/>
  <c r="AD44" i="17"/>
  <c r="AA44" i="17"/>
  <c r="X44" i="17"/>
  <c r="U44" i="17"/>
  <c r="AG43" i="17"/>
  <c r="AC43" i="17"/>
  <c r="AB43" i="17"/>
  <c r="Z43" i="17"/>
  <c r="AA43" i="17" s="1"/>
  <c r="Y43" i="17"/>
  <c r="W43" i="17"/>
  <c r="AF43" i="17" s="1"/>
  <c r="V43" i="17"/>
  <c r="X43" i="17" s="1"/>
  <c r="T43" i="17"/>
  <c r="S43" i="17"/>
  <c r="AG42" i="17"/>
  <c r="AF42" i="17"/>
  <c r="AE42" i="17"/>
  <c r="AG41" i="17"/>
  <c r="AF41" i="17"/>
  <c r="AE41" i="17"/>
  <c r="AG40" i="17"/>
  <c r="AF40" i="17"/>
  <c r="AE40" i="17"/>
  <c r="AG39" i="17"/>
  <c r="AF39" i="17"/>
  <c r="AE39" i="17"/>
  <c r="AG38" i="17"/>
  <c r="AF38" i="17"/>
  <c r="AE38" i="17"/>
  <c r="AG37" i="17"/>
  <c r="AF37" i="17"/>
  <c r="AE37" i="17"/>
  <c r="AD37" i="17"/>
  <c r="AA37" i="17"/>
  <c r="X37" i="17"/>
  <c r="U37" i="17"/>
  <c r="AC36" i="17"/>
  <c r="AB36" i="17"/>
  <c r="Z36" i="17"/>
  <c r="Y36" i="17"/>
  <c r="AA36" i="17" s="1"/>
  <c r="W36" i="17"/>
  <c r="V36" i="17"/>
  <c r="T36" i="17"/>
  <c r="U36" i="17" s="1"/>
  <c r="S36" i="17"/>
  <c r="AG35" i="17"/>
  <c r="AF35" i="17"/>
  <c r="AE35" i="17"/>
  <c r="AG34" i="17"/>
  <c r="AF34" i="17"/>
  <c r="AE34" i="17"/>
  <c r="AG33" i="17"/>
  <c r="AF33" i="17"/>
  <c r="AE33" i="17"/>
  <c r="AG32" i="17"/>
  <c r="AF32" i="17"/>
  <c r="AE32" i="17"/>
  <c r="AC31" i="17"/>
  <c r="AG31" i="17" s="1"/>
  <c r="AB31" i="17"/>
  <c r="Z31" i="17"/>
  <c r="Y31" i="17"/>
  <c r="W31" i="17"/>
  <c r="AF31" i="17" s="1"/>
  <c r="V31" i="17"/>
  <c r="T31" i="17"/>
  <c r="AE31" i="17" s="1"/>
  <c r="S31" i="17"/>
  <c r="AG30" i="17"/>
  <c r="AF30" i="17"/>
  <c r="AE30" i="17"/>
  <c r="AG29" i="17"/>
  <c r="AF29" i="17"/>
  <c r="AE29" i="17"/>
  <c r="AA29" i="17"/>
  <c r="X29" i="17"/>
  <c r="U29" i="17"/>
  <c r="AG28" i="17"/>
  <c r="AF28" i="17"/>
  <c r="AE28" i="17"/>
  <c r="U28" i="17"/>
  <c r="AG27" i="17"/>
  <c r="AF27" i="17"/>
  <c r="AE27" i="17"/>
  <c r="U27" i="17"/>
  <c r="AG26" i="17"/>
  <c r="AF26" i="17"/>
  <c r="AE26" i="17"/>
  <c r="U26" i="17"/>
  <c r="AG25" i="17"/>
  <c r="AF25" i="17"/>
  <c r="AE25" i="17"/>
  <c r="AG24" i="17"/>
  <c r="AF24" i="17"/>
  <c r="AE24" i="17"/>
  <c r="AG23" i="17"/>
  <c r="AF23" i="17"/>
  <c r="AE23" i="17"/>
  <c r="AG22" i="17"/>
  <c r="AF22" i="17"/>
  <c r="AE22" i="17"/>
  <c r="AG21" i="17"/>
  <c r="AF21" i="17"/>
  <c r="AE21" i="17"/>
  <c r="U21" i="17"/>
  <c r="AG20" i="17"/>
  <c r="AF20" i="17"/>
  <c r="AE20" i="17"/>
  <c r="AG19" i="17"/>
  <c r="AF19" i="17"/>
  <c r="AE19" i="17"/>
  <c r="AG18" i="17"/>
  <c r="AF18" i="17"/>
  <c r="AE18" i="17"/>
  <c r="AG17" i="17"/>
  <c r="AF17" i="17"/>
  <c r="AE17" i="17"/>
  <c r="AG16" i="17"/>
  <c r="AF16" i="17"/>
  <c r="AE16" i="17"/>
  <c r="AG15" i="17"/>
  <c r="AF15" i="17"/>
  <c r="AE15" i="17"/>
  <c r="AA15" i="17"/>
  <c r="X15" i="17"/>
  <c r="U15" i="17"/>
  <c r="AG14" i="17"/>
  <c r="AF14" i="17"/>
  <c r="AE14" i="17"/>
  <c r="AA14" i="17"/>
  <c r="X14" i="17"/>
  <c r="U14" i="17"/>
  <c r="AC13" i="17"/>
  <c r="AG13" i="17" s="1"/>
  <c r="AB13" i="17"/>
  <c r="Z13" i="17"/>
  <c r="AA13" i="17" s="1"/>
  <c r="Y13" i="17"/>
  <c r="W13" i="17"/>
  <c r="AF13" i="17" s="1"/>
  <c r="V13" i="17"/>
  <c r="T13" i="17"/>
  <c r="AE13" i="17" s="1"/>
  <c r="S13" i="17"/>
  <c r="AG12" i="17"/>
  <c r="AF12" i="17"/>
  <c r="AE12" i="17"/>
  <c r="AG11" i="17"/>
  <c r="AF11" i="17"/>
  <c r="AE11" i="17"/>
  <c r="AG10" i="17"/>
  <c r="AF10" i="17"/>
  <c r="AE10" i="17"/>
  <c r="AG9" i="17"/>
  <c r="AF9" i="17"/>
  <c r="AE9" i="17"/>
  <c r="AA9" i="17"/>
  <c r="U9" i="17"/>
  <c r="AC8" i="17"/>
  <c r="AG8" i="17" s="1"/>
  <c r="AB8" i="17"/>
  <c r="Z8" i="17"/>
  <c r="AA8" i="17" s="1"/>
  <c r="Y8" i="17"/>
  <c r="W8" i="17"/>
  <c r="AF8" i="17" s="1"/>
  <c r="V8" i="17"/>
  <c r="T8" i="17"/>
  <c r="S8" i="17"/>
  <c r="AG7" i="17"/>
  <c r="AF7" i="17"/>
  <c r="AE7" i="17"/>
  <c r="AG6" i="17"/>
  <c r="AF6" i="17"/>
  <c r="AE6" i="17"/>
  <c r="AC5" i="17"/>
  <c r="AB5" i="17"/>
  <c r="AG5" i="17" s="1"/>
  <c r="Z5" i="17"/>
  <c r="Y5" i="17"/>
  <c r="W5" i="17"/>
  <c r="V5" i="17"/>
  <c r="V51" i="17" s="1"/>
  <c r="T5" i="17"/>
  <c r="S5" i="17"/>
  <c r="P39" i="17"/>
  <c r="O39" i="17"/>
  <c r="N39" i="17"/>
  <c r="L38" i="17"/>
  <c r="P38" i="17" s="1"/>
  <c r="K38" i="17"/>
  <c r="I38" i="17"/>
  <c r="H38" i="17"/>
  <c r="F38" i="17"/>
  <c r="O38" i="17" s="1"/>
  <c r="E38" i="17"/>
  <c r="C38" i="17"/>
  <c r="B38" i="17"/>
  <c r="P37" i="17"/>
  <c r="O37" i="17"/>
  <c r="N37" i="17"/>
  <c r="L36" i="17"/>
  <c r="K36" i="17"/>
  <c r="I36" i="17"/>
  <c r="H36" i="17"/>
  <c r="F36" i="17"/>
  <c r="E36" i="17"/>
  <c r="C36" i="17"/>
  <c r="B36" i="17"/>
  <c r="P35" i="17"/>
  <c r="O35" i="17"/>
  <c r="N35" i="17"/>
  <c r="P34" i="17"/>
  <c r="O34" i="17"/>
  <c r="N34" i="17"/>
  <c r="P33" i="17"/>
  <c r="O33" i="17"/>
  <c r="N33" i="17"/>
  <c r="L32" i="17"/>
  <c r="P32" i="17" s="1"/>
  <c r="K32" i="17"/>
  <c r="I32" i="17"/>
  <c r="H32" i="17"/>
  <c r="F32" i="17"/>
  <c r="O32" i="17" s="1"/>
  <c r="E32" i="17"/>
  <c r="C32" i="17"/>
  <c r="B32" i="17"/>
  <c r="N32" i="17" s="1"/>
  <c r="P31" i="17"/>
  <c r="O31" i="17"/>
  <c r="N31" i="17"/>
  <c r="J31" i="17"/>
  <c r="D31" i="17"/>
  <c r="L30" i="17"/>
  <c r="K30" i="17"/>
  <c r="I30" i="17"/>
  <c r="J30" i="17" s="1"/>
  <c r="H30" i="17"/>
  <c r="F30" i="17"/>
  <c r="E30" i="17"/>
  <c r="C30" i="17"/>
  <c r="N30" i="17" s="1"/>
  <c r="B30" i="17"/>
  <c r="P29" i="17"/>
  <c r="O29" i="17"/>
  <c r="N29" i="17"/>
  <c r="P28" i="17"/>
  <c r="O28" i="17"/>
  <c r="N28" i="17"/>
  <c r="P27" i="17"/>
  <c r="O27" i="17"/>
  <c r="N27" i="17"/>
  <c r="L26" i="17"/>
  <c r="P26" i="17" s="1"/>
  <c r="K26" i="17"/>
  <c r="I26" i="17"/>
  <c r="H26" i="17"/>
  <c r="F26" i="17"/>
  <c r="O26" i="17" s="1"/>
  <c r="E26" i="17"/>
  <c r="C26" i="17"/>
  <c r="B26" i="17"/>
  <c r="P25" i="17"/>
  <c r="O25" i="17"/>
  <c r="N25" i="17"/>
  <c r="P24" i="17"/>
  <c r="O24" i="17"/>
  <c r="N24" i="17"/>
  <c r="M24" i="17"/>
  <c r="J24" i="17"/>
  <c r="G24" i="17"/>
  <c r="D24" i="17"/>
  <c r="P23" i="17"/>
  <c r="O23" i="17"/>
  <c r="N23" i="17"/>
  <c r="L22" i="17"/>
  <c r="K22" i="17"/>
  <c r="I22" i="17"/>
  <c r="H22" i="17"/>
  <c r="F22" i="17"/>
  <c r="O22" i="17" s="1"/>
  <c r="E22" i="17"/>
  <c r="C22" i="17"/>
  <c r="N22" i="17" s="1"/>
  <c r="B22" i="17"/>
  <c r="P21" i="17"/>
  <c r="O21" i="17"/>
  <c r="N21" i="17"/>
  <c r="P20" i="17"/>
  <c r="O20" i="17"/>
  <c r="N20" i="17"/>
  <c r="P19" i="17"/>
  <c r="O19" i="17"/>
  <c r="N19" i="17"/>
  <c r="P18" i="17"/>
  <c r="O18" i="17"/>
  <c r="N18" i="17"/>
  <c r="P17" i="17"/>
  <c r="O17" i="17"/>
  <c r="N17" i="17"/>
  <c r="M17" i="17"/>
  <c r="J17" i="17"/>
  <c r="G17" i="17"/>
  <c r="D17" i="17"/>
  <c r="P16" i="17"/>
  <c r="O16" i="17"/>
  <c r="N16" i="17"/>
  <c r="P15" i="17"/>
  <c r="O15" i="17"/>
  <c r="N15" i="17"/>
  <c r="M15" i="17"/>
  <c r="J15" i="17"/>
  <c r="G15" i="17"/>
  <c r="D15" i="17"/>
  <c r="P14" i="17"/>
  <c r="L14" i="17"/>
  <c r="K14" i="17"/>
  <c r="I14" i="17"/>
  <c r="H14" i="17"/>
  <c r="F14" i="17"/>
  <c r="O14" i="17" s="1"/>
  <c r="E14" i="17"/>
  <c r="C14" i="17"/>
  <c r="N14" i="17" s="1"/>
  <c r="B14" i="17"/>
  <c r="P13" i="17"/>
  <c r="O13" i="17"/>
  <c r="N13" i="17"/>
  <c r="P12" i="17"/>
  <c r="O12" i="17"/>
  <c r="N12" i="17"/>
  <c r="M12" i="17"/>
  <c r="J12" i="17"/>
  <c r="G12" i="17"/>
  <c r="D12" i="17"/>
  <c r="P11" i="17"/>
  <c r="O11" i="17"/>
  <c r="N11" i="17"/>
  <c r="M11" i="17"/>
  <c r="D11" i="17"/>
  <c r="P10" i="17"/>
  <c r="O10" i="17"/>
  <c r="N10" i="17"/>
  <c r="M10" i="17"/>
  <c r="J10" i="17"/>
  <c r="G10" i="17"/>
  <c r="D10" i="17"/>
  <c r="P9" i="17"/>
  <c r="O9" i="17"/>
  <c r="N9" i="17"/>
  <c r="P8" i="17"/>
  <c r="O8" i="17"/>
  <c r="N8" i="17"/>
  <c r="P7" i="17"/>
  <c r="O7" i="17"/>
  <c r="N7" i="17"/>
  <c r="J7" i="17"/>
  <c r="G7" i="17"/>
  <c r="D7" i="17"/>
  <c r="P6" i="17"/>
  <c r="O6" i="17"/>
  <c r="N6" i="17"/>
  <c r="L5" i="17"/>
  <c r="P5" i="17" s="1"/>
  <c r="K5" i="17"/>
  <c r="I5" i="17"/>
  <c r="J5" i="17" s="1"/>
  <c r="H5" i="17"/>
  <c r="H40" i="17" s="1"/>
  <c r="F5" i="17"/>
  <c r="O5" i="17" s="1"/>
  <c r="E5" i="17"/>
  <c r="C5" i="17"/>
  <c r="B5" i="17"/>
  <c r="B40" i="17" s="1"/>
  <c r="AU5" i="1"/>
  <c r="L77" i="16"/>
  <c r="J77" i="16"/>
  <c r="H77" i="16"/>
  <c r="F77" i="16"/>
  <c r="D77" i="16"/>
  <c r="L65" i="16"/>
  <c r="J65" i="16"/>
  <c r="H65" i="16"/>
  <c r="F65" i="16"/>
  <c r="D65" i="16"/>
  <c r="L57" i="16"/>
  <c r="J57" i="16"/>
  <c r="H57" i="16"/>
  <c r="F57" i="16"/>
  <c r="D57" i="16"/>
  <c r="L48" i="16"/>
  <c r="J48" i="16"/>
  <c r="H48" i="16"/>
  <c r="F48" i="16"/>
  <c r="D48" i="16"/>
  <c r="L33" i="16"/>
  <c r="J33" i="16"/>
  <c r="H33" i="16"/>
  <c r="F33" i="16"/>
  <c r="D33" i="16"/>
  <c r="L26" i="16"/>
  <c r="J26" i="16"/>
  <c r="H26" i="16"/>
  <c r="F26" i="16"/>
  <c r="D26" i="16"/>
  <c r="L15" i="16"/>
  <c r="L101" i="16" s="1"/>
  <c r="J15" i="16"/>
  <c r="H15" i="16"/>
  <c r="H101" i="16" s="1"/>
  <c r="F15" i="16"/>
  <c r="D15" i="16"/>
  <c r="D101" i="16" s="1"/>
  <c r="F101" i="16" l="1"/>
  <c r="J101" i="16"/>
  <c r="N5" i="17"/>
  <c r="O36" i="17"/>
  <c r="P36" i="17"/>
  <c r="W51" i="17"/>
  <c r="AF51" i="17" s="1"/>
  <c r="AC51" i="17"/>
  <c r="AE8" i="17"/>
  <c r="AD43" i="17"/>
  <c r="AG46" i="17"/>
  <c r="AW8" i="17"/>
  <c r="AX8" i="17"/>
  <c r="E40" i="17"/>
  <c r="G14" i="17"/>
  <c r="M14" i="17"/>
  <c r="G22" i="17"/>
  <c r="P22" i="17"/>
  <c r="N26" i="17"/>
  <c r="I40" i="17"/>
  <c r="O30" i="17"/>
  <c r="P30" i="17"/>
  <c r="N36" i="17"/>
  <c r="N38" i="17"/>
  <c r="AE5" i="17"/>
  <c r="Y51" i="17"/>
  <c r="K40" i="17"/>
  <c r="J14" i="17"/>
  <c r="J22" i="17"/>
  <c r="Z51" i="17"/>
  <c r="AE36" i="17"/>
  <c r="AF36" i="17"/>
  <c r="AG36" i="17"/>
  <c r="AE43" i="17"/>
  <c r="AE46" i="17"/>
  <c r="AV8" i="17"/>
  <c r="AR8" i="17"/>
  <c r="AL8" i="17"/>
  <c r="AD51" i="17"/>
  <c r="AA51" i="17"/>
  <c r="X51" i="17"/>
  <c r="AD36" i="17"/>
  <c r="U13" i="17"/>
  <c r="AD13" i="17"/>
  <c r="X36" i="17"/>
  <c r="S51" i="17"/>
  <c r="T51" i="17"/>
  <c r="U51" i="17" s="1"/>
  <c r="AB51" i="17"/>
  <c r="AG51" i="17" s="1"/>
  <c r="AF5" i="17"/>
  <c r="X13" i="17"/>
  <c r="U43" i="17"/>
  <c r="U8" i="17"/>
  <c r="J40" i="17"/>
  <c r="D30" i="17"/>
  <c r="M5" i="17"/>
  <c r="M22" i="17"/>
  <c r="C40" i="17"/>
  <c r="D5" i="17"/>
  <c r="D22" i="17"/>
  <c r="L40" i="17"/>
  <c r="D14" i="17"/>
  <c r="F40" i="17"/>
  <c r="G5" i="17"/>
  <c r="AW8" i="1"/>
  <c r="AX8" i="1"/>
  <c r="AY8" i="1"/>
  <c r="AZ8" i="1"/>
  <c r="BA8" i="1"/>
  <c r="BB8" i="1"/>
  <c r="BC8" i="1"/>
  <c r="BD8" i="1"/>
  <c r="BE8" i="1"/>
  <c r="BF8" i="1"/>
  <c r="BG8" i="1"/>
  <c r="BH8" i="1"/>
  <c r="AV7" i="1"/>
  <c r="AU7" i="1"/>
  <c r="AV6" i="1"/>
  <c r="AU6" i="1"/>
  <c r="AV5" i="1"/>
  <c r="AU8" i="1"/>
  <c r="AL36" i="1"/>
  <c r="AE50" i="1"/>
  <c r="AD50" i="1"/>
  <c r="AE49" i="1"/>
  <c r="AD49" i="1"/>
  <c r="AE48" i="1"/>
  <c r="AD48" i="1"/>
  <c r="AE47" i="1"/>
  <c r="AD47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5" i="1"/>
  <c r="AD45" i="1"/>
  <c r="AE44" i="1"/>
  <c r="AD44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Q36" i="1"/>
  <c r="AP36" i="1"/>
  <c r="AO36" i="1"/>
  <c r="AN36" i="1"/>
  <c r="AM36" i="1"/>
  <c r="AK36" i="1"/>
  <c r="AJ36" i="1"/>
  <c r="AI36" i="1"/>
  <c r="AH36" i="1"/>
  <c r="AG36" i="1"/>
  <c r="AF36" i="1"/>
  <c r="AE35" i="1"/>
  <c r="AD35" i="1"/>
  <c r="AE34" i="1"/>
  <c r="AD34" i="1"/>
  <c r="AE33" i="1"/>
  <c r="AD33" i="1"/>
  <c r="AE32" i="1"/>
  <c r="AD32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2" i="1"/>
  <c r="AD12" i="1"/>
  <c r="AE11" i="1"/>
  <c r="AD11" i="1"/>
  <c r="AE10" i="1"/>
  <c r="AD10" i="1"/>
  <c r="AE9" i="1"/>
  <c r="AD9" i="1"/>
  <c r="AQ8" i="1"/>
  <c r="AP8" i="1"/>
  <c r="AO8" i="1"/>
  <c r="AN8" i="1"/>
  <c r="AM8" i="1"/>
  <c r="AL8" i="1"/>
  <c r="AK8" i="1"/>
  <c r="AJ8" i="1"/>
  <c r="AI8" i="1"/>
  <c r="AH8" i="1"/>
  <c r="AG8" i="1"/>
  <c r="AF8" i="1"/>
  <c r="AE7" i="1"/>
  <c r="AD7" i="1"/>
  <c r="AE6" i="1"/>
  <c r="AD6" i="1"/>
  <c r="AQ5" i="1"/>
  <c r="AP5" i="1"/>
  <c r="AO5" i="1"/>
  <c r="AN5" i="1"/>
  <c r="AM5" i="1"/>
  <c r="AL5" i="1"/>
  <c r="AK5" i="1"/>
  <c r="AJ5" i="1"/>
  <c r="AI5" i="1"/>
  <c r="AH5" i="1"/>
  <c r="AG5" i="1"/>
  <c r="AF5" i="1"/>
  <c r="B72" i="15"/>
  <c r="B49" i="15"/>
  <c r="B44" i="15"/>
  <c r="B29" i="15"/>
  <c r="B25" i="15"/>
  <c r="B21" i="15"/>
  <c r="B13" i="15"/>
  <c r="AE51" i="17" l="1"/>
  <c r="P40" i="17"/>
  <c r="M40" i="17"/>
  <c r="O40" i="17"/>
  <c r="G40" i="17"/>
  <c r="N40" i="17"/>
  <c r="D40" i="17"/>
  <c r="AV8" i="1"/>
  <c r="AD43" i="1"/>
  <c r="AD13" i="1"/>
  <c r="AD31" i="1"/>
  <c r="AD5" i="1"/>
  <c r="AE31" i="1"/>
  <c r="AE8" i="1"/>
  <c r="AE36" i="1"/>
  <c r="AE46" i="1"/>
  <c r="AD8" i="1"/>
  <c r="AD46" i="1"/>
  <c r="AE43" i="1"/>
  <c r="AE13" i="1"/>
  <c r="AE5" i="1"/>
  <c r="AD36" i="1"/>
  <c r="C13" i="15"/>
  <c r="D13" i="15" s="1"/>
  <c r="K73" i="3" l="1"/>
  <c r="J14" i="1"/>
  <c r="F14" i="1"/>
  <c r="D14" i="1"/>
  <c r="F5" i="1"/>
  <c r="D5" i="1"/>
  <c r="F30" i="1"/>
  <c r="C35" i="1"/>
  <c r="B35" i="1"/>
  <c r="C34" i="1"/>
  <c r="B34" i="1"/>
  <c r="C33" i="1"/>
  <c r="B33" i="1"/>
  <c r="C31" i="1"/>
  <c r="B31" i="1"/>
  <c r="C29" i="1"/>
  <c r="B29" i="1"/>
  <c r="C28" i="1"/>
  <c r="B28" i="1"/>
  <c r="C27" i="1"/>
  <c r="B27" i="1"/>
  <c r="C25" i="1"/>
  <c r="B25" i="1"/>
  <c r="C24" i="1"/>
  <c r="B24" i="1"/>
  <c r="C23" i="1"/>
  <c r="B23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49" i="15" l="1"/>
  <c r="D49" i="15" s="1"/>
  <c r="C44" i="15"/>
  <c r="L50" i="3"/>
  <c r="K50" i="3"/>
  <c r="L45" i="3"/>
  <c r="K45" i="3"/>
  <c r="I50" i="3"/>
  <c r="H50" i="3"/>
  <c r="I45" i="3"/>
  <c r="H45" i="3"/>
  <c r="F50" i="3"/>
  <c r="E50" i="3"/>
  <c r="C45" i="3"/>
  <c r="F45" i="3"/>
  <c r="E45" i="3"/>
  <c r="D46" i="3"/>
  <c r="M50" i="3" l="1"/>
  <c r="J50" i="3"/>
  <c r="G50" i="3"/>
  <c r="J45" i="3"/>
  <c r="C50" i="3"/>
  <c r="B50" i="3"/>
  <c r="B45" i="3"/>
  <c r="D50" i="3" l="1"/>
  <c r="D89" i="15"/>
  <c r="J91" i="3"/>
  <c r="J90" i="3"/>
  <c r="D91" i="3"/>
  <c r="D92" i="3"/>
  <c r="D90" i="3"/>
  <c r="M74" i="3"/>
  <c r="M81" i="3"/>
  <c r="M10" i="3"/>
  <c r="M11" i="3"/>
  <c r="M12" i="3"/>
  <c r="M15" i="3"/>
  <c r="M17" i="3"/>
  <c r="M24" i="3"/>
  <c r="J46" i="3"/>
  <c r="J51" i="3"/>
  <c r="J52" i="3"/>
  <c r="J66" i="3"/>
  <c r="J74" i="3"/>
  <c r="J81" i="3"/>
  <c r="G51" i="3"/>
  <c r="G52" i="3"/>
  <c r="G66" i="3"/>
  <c r="G74" i="3"/>
  <c r="G81" i="3"/>
  <c r="D51" i="3"/>
  <c r="D52" i="3"/>
  <c r="D58" i="3"/>
  <c r="D63" i="3"/>
  <c r="D64" i="3"/>
  <c r="D65" i="3"/>
  <c r="D66" i="3"/>
  <c r="D74" i="3"/>
  <c r="D81" i="3"/>
  <c r="J7" i="3"/>
  <c r="J10" i="3"/>
  <c r="J12" i="3"/>
  <c r="J15" i="3"/>
  <c r="J17" i="3"/>
  <c r="J24" i="3"/>
  <c r="J31" i="3"/>
  <c r="G7" i="3"/>
  <c r="G10" i="3"/>
  <c r="G12" i="3"/>
  <c r="G15" i="3"/>
  <c r="G17" i="3"/>
  <c r="G24" i="3"/>
  <c r="D10" i="3"/>
  <c r="D11" i="3"/>
  <c r="D12" i="3"/>
  <c r="D15" i="3"/>
  <c r="D17" i="3"/>
  <c r="D24" i="3"/>
  <c r="D31" i="3"/>
  <c r="D7" i="3"/>
  <c r="C92" i="15" l="1"/>
  <c r="B92" i="15"/>
  <c r="C82" i="15"/>
  <c r="B82" i="15"/>
  <c r="C79" i="15"/>
  <c r="B79" i="15"/>
  <c r="C72" i="15"/>
  <c r="D72" i="15" s="1"/>
  <c r="C67" i="15"/>
  <c r="B67" i="15"/>
  <c r="C41" i="15"/>
  <c r="B41" i="15"/>
  <c r="C37" i="15"/>
  <c r="B37" i="15"/>
  <c r="C35" i="15"/>
  <c r="D35" i="15" s="1"/>
  <c r="B35" i="15"/>
  <c r="C31" i="15"/>
  <c r="B31" i="15"/>
  <c r="C29" i="15"/>
  <c r="D29" i="15" s="1"/>
  <c r="C25" i="15"/>
  <c r="D25" i="15" s="1"/>
  <c r="C21" i="15"/>
  <c r="D21" i="15" s="1"/>
  <c r="C4" i="15"/>
  <c r="B4" i="15"/>
  <c r="L93" i="3"/>
  <c r="K93" i="3"/>
  <c r="I93" i="3"/>
  <c r="H93" i="3"/>
  <c r="F93" i="3"/>
  <c r="E93" i="3"/>
  <c r="C93" i="3"/>
  <c r="B93" i="3"/>
  <c r="P92" i="3"/>
  <c r="O92" i="3"/>
  <c r="N92" i="3"/>
  <c r="P91" i="3"/>
  <c r="O91" i="3"/>
  <c r="N91" i="3"/>
  <c r="P90" i="3"/>
  <c r="O90" i="3"/>
  <c r="N90" i="3"/>
  <c r="P87" i="3"/>
  <c r="O87" i="3"/>
  <c r="N87" i="3"/>
  <c r="P86" i="3"/>
  <c r="O86" i="3"/>
  <c r="N86" i="3"/>
  <c r="P85" i="3"/>
  <c r="O85" i="3"/>
  <c r="N85" i="3"/>
  <c r="P84" i="3"/>
  <c r="O84" i="3"/>
  <c r="N84" i="3"/>
  <c r="L83" i="3"/>
  <c r="K83" i="3"/>
  <c r="I83" i="3"/>
  <c r="H83" i="3"/>
  <c r="F83" i="3"/>
  <c r="E83" i="3"/>
  <c r="C83" i="3"/>
  <c r="B83" i="3"/>
  <c r="P82" i="3"/>
  <c r="O82" i="3"/>
  <c r="N82" i="3"/>
  <c r="P81" i="3"/>
  <c r="O81" i="3"/>
  <c r="N81" i="3"/>
  <c r="L80" i="3"/>
  <c r="K80" i="3"/>
  <c r="I80" i="3"/>
  <c r="H80" i="3"/>
  <c r="F80" i="3"/>
  <c r="E80" i="3"/>
  <c r="C80" i="3"/>
  <c r="B80" i="3"/>
  <c r="P79" i="3"/>
  <c r="O79" i="3"/>
  <c r="N79" i="3"/>
  <c r="P78" i="3"/>
  <c r="O78" i="3"/>
  <c r="N78" i="3"/>
  <c r="P77" i="3"/>
  <c r="O77" i="3"/>
  <c r="N77" i="3"/>
  <c r="P76" i="3"/>
  <c r="O76" i="3"/>
  <c r="N76" i="3"/>
  <c r="P75" i="3"/>
  <c r="O75" i="3"/>
  <c r="N75" i="3"/>
  <c r="P74" i="3"/>
  <c r="O74" i="3"/>
  <c r="N74" i="3"/>
  <c r="L73" i="3"/>
  <c r="I73" i="3"/>
  <c r="H73" i="3"/>
  <c r="F73" i="3"/>
  <c r="E73" i="3"/>
  <c r="C73" i="3"/>
  <c r="B73" i="3"/>
  <c r="P72" i="3"/>
  <c r="O72" i="3"/>
  <c r="N72" i="3"/>
  <c r="P71" i="3"/>
  <c r="O71" i="3"/>
  <c r="N71" i="3"/>
  <c r="P70" i="3"/>
  <c r="O70" i="3"/>
  <c r="N70" i="3"/>
  <c r="P69" i="3"/>
  <c r="O69" i="3"/>
  <c r="N69" i="3"/>
  <c r="L68" i="3"/>
  <c r="K68" i="3"/>
  <c r="I68" i="3"/>
  <c r="H68" i="3"/>
  <c r="F68" i="3"/>
  <c r="E68" i="3"/>
  <c r="C68" i="3"/>
  <c r="B68" i="3"/>
  <c r="P67" i="3"/>
  <c r="O67" i="3"/>
  <c r="N67" i="3"/>
  <c r="P66" i="3"/>
  <c r="O66" i="3"/>
  <c r="N66" i="3"/>
  <c r="P65" i="3"/>
  <c r="O65" i="3"/>
  <c r="N65" i="3"/>
  <c r="P64" i="3"/>
  <c r="O64" i="3"/>
  <c r="N64" i="3"/>
  <c r="P63" i="3"/>
  <c r="O63" i="3"/>
  <c r="N63" i="3"/>
  <c r="P62" i="3"/>
  <c r="O62" i="3"/>
  <c r="N62" i="3"/>
  <c r="P61" i="3"/>
  <c r="O61" i="3"/>
  <c r="N61" i="3"/>
  <c r="P60" i="3"/>
  <c r="O60" i="3"/>
  <c r="N60" i="3"/>
  <c r="P59" i="3"/>
  <c r="O59" i="3"/>
  <c r="N59" i="3"/>
  <c r="P58" i="3"/>
  <c r="O58" i="3"/>
  <c r="N58" i="3"/>
  <c r="P57" i="3"/>
  <c r="O57" i="3"/>
  <c r="N57" i="3"/>
  <c r="P56" i="3"/>
  <c r="O56" i="3"/>
  <c r="N56" i="3"/>
  <c r="P55" i="3"/>
  <c r="O55" i="3"/>
  <c r="N55" i="3"/>
  <c r="P54" i="3"/>
  <c r="O54" i="3"/>
  <c r="N54" i="3"/>
  <c r="P53" i="3"/>
  <c r="O53" i="3"/>
  <c r="N53" i="3"/>
  <c r="P52" i="3"/>
  <c r="O52" i="3"/>
  <c r="N52" i="3"/>
  <c r="P51" i="3"/>
  <c r="O51" i="3"/>
  <c r="N51" i="3"/>
  <c r="P50" i="3"/>
  <c r="O50" i="3"/>
  <c r="N50" i="3"/>
  <c r="P49" i="3"/>
  <c r="O49" i="3"/>
  <c r="N49" i="3"/>
  <c r="P48" i="3"/>
  <c r="O48" i="3"/>
  <c r="N48" i="3"/>
  <c r="P47" i="3"/>
  <c r="O47" i="3"/>
  <c r="N47" i="3"/>
  <c r="P46" i="3"/>
  <c r="O46" i="3"/>
  <c r="N46" i="3"/>
  <c r="D45" i="3"/>
  <c r="P44" i="3"/>
  <c r="O44" i="3"/>
  <c r="N44" i="3"/>
  <c r="P43" i="3"/>
  <c r="O43" i="3"/>
  <c r="N43" i="3"/>
  <c r="L42" i="3"/>
  <c r="K42" i="3"/>
  <c r="I42" i="3"/>
  <c r="H42" i="3"/>
  <c r="F42" i="3"/>
  <c r="E42" i="3"/>
  <c r="C42" i="3"/>
  <c r="B42" i="3"/>
  <c r="P39" i="3"/>
  <c r="O39" i="3"/>
  <c r="N39" i="3"/>
  <c r="L38" i="3"/>
  <c r="K38" i="3"/>
  <c r="I38" i="3"/>
  <c r="H38" i="3"/>
  <c r="F38" i="3"/>
  <c r="E38" i="3"/>
  <c r="C38" i="3"/>
  <c r="B38" i="3"/>
  <c r="P37" i="3"/>
  <c r="O37" i="3"/>
  <c r="N37" i="3"/>
  <c r="L36" i="3"/>
  <c r="K36" i="3"/>
  <c r="I36" i="3"/>
  <c r="H36" i="3"/>
  <c r="F36" i="3"/>
  <c r="E36" i="3"/>
  <c r="C36" i="3"/>
  <c r="B36" i="3"/>
  <c r="P35" i="3"/>
  <c r="O35" i="3"/>
  <c r="N35" i="3"/>
  <c r="P34" i="3"/>
  <c r="O34" i="3"/>
  <c r="N34" i="3"/>
  <c r="P33" i="3"/>
  <c r="O33" i="3"/>
  <c r="N33" i="3"/>
  <c r="L32" i="3"/>
  <c r="K32" i="3"/>
  <c r="I32" i="3"/>
  <c r="H32" i="3"/>
  <c r="F32" i="3"/>
  <c r="E32" i="3"/>
  <c r="C32" i="3"/>
  <c r="B32" i="3"/>
  <c r="P31" i="3"/>
  <c r="O31" i="3"/>
  <c r="N31" i="3"/>
  <c r="L30" i="3"/>
  <c r="K30" i="3"/>
  <c r="I30" i="3"/>
  <c r="H30" i="3"/>
  <c r="F30" i="3"/>
  <c r="E30" i="3"/>
  <c r="C30" i="3"/>
  <c r="B30" i="3"/>
  <c r="P29" i="3"/>
  <c r="O29" i="3"/>
  <c r="N29" i="3"/>
  <c r="P28" i="3"/>
  <c r="O28" i="3"/>
  <c r="N28" i="3"/>
  <c r="P27" i="3"/>
  <c r="O27" i="3"/>
  <c r="N27" i="3"/>
  <c r="L26" i="3"/>
  <c r="K26" i="3"/>
  <c r="I26" i="3"/>
  <c r="H26" i="3"/>
  <c r="F26" i="3"/>
  <c r="E26" i="3"/>
  <c r="C26" i="3"/>
  <c r="B26" i="3"/>
  <c r="P25" i="3"/>
  <c r="O25" i="3"/>
  <c r="N25" i="3"/>
  <c r="P24" i="3"/>
  <c r="O24" i="3"/>
  <c r="N24" i="3"/>
  <c r="P23" i="3"/>
  <c r="O23" i="3"/>
  <c r="N23" i="3"/>
  <c r="L22" i="3"/>
  <c r="K22" i="3"/>
  <c r="I22" i="3"/>
  <c r="H22" i="3"/>
  <c r="F22" i="3"/>
  <c r="E22" i="3"/>
  <c r="C22" i="3"/>
  <c r="B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L14" i="3"/>
  <c r="K14" i="3"/>
  <c r="I14" i="3"/>
  <c r="H14" i="3"/>
  <c r="F14" i="3"/>
  <c r="E14" i="3"/>
  <c r="C14" i="3"/>
  <c r="B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L5" i="3"/>
  <c r="K5" i="3"/>
  <c r="I5" i="3"/>
  <c r="H5" i="3"/>
  <c r="F5" i="3"/>
  <c r="E5" i="3"/>
  <c r="C5" i="3"/>
  <c r="B5" i="3"/>
  <c r="C77" i="2"/>
  <c r="C65" i="2"/>
  <c r="C57" i="2"/>
  <c r="C48" i="2"/>
  <c r="C33" i="2"/>
  <c r="C26" i="2"/>
  <c r="C15" i="2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O32" i="1"/>
  <c r="N32" i="1"/>
  <c r="M32" i="1"/>
  <c r="L32" i="1"/>
  <c r="K32" i="1"/>
  <c r="J32" i="1"/>
  <c r="I32" i="1"/>
  <c r="H32" i="1"/>
  <c r="G32" i="1"/>
  <c r="F32" i="1"/>
  <c r="E32" i="1"/>
  <c r="D32" i="1"/>
  <c r="O30" i="1"/>
  <c r="N30" i="1"/>
  <c r="M30" i="1"/>
  <c r="L30" i="1"/>
  <c r="K30" i="1"/>
  <c r="J30" i="1"/>
  <c r="I30" i="1"/>
  <c r="H30" i="1"/>
  <c r="G30" i="1"/>
  <c r="E30" i="1"/>
  <c r="D30" i="1"/>
  <c r="O26" i="1"/>
  <c r="N26" i="1"/>
  <c r="M26" i="1"/>
  <c r="L26" i="1"/>
  <c r="K26" i="1"/>
  <c r="J26" i="1"/>
  <c r="I26" i="1"/>
  <c r="H26" i="1"/>
  <c r="G26" i="1"/>
  <c r="F26" i="1"/>
  <c r="E26" i="1"/>
  <c r="D26" i="1"/>
  <c r="O22" i="1"/>
  <c r="N22" i="1"/>
  <c r="M22" i="1"/>
  <c r="L22" i="1"/>
  <c r="K22" i="1"/>
  <c r="J22" i="1"/>
  <c r="I22" i="1"/>
  <c r="H22" i="1"/>
  <c r="G22" i="1"/>
  <c r="F22" i="1"/>
  <c r="E22" i="1"/>
  <c r="D22" i="1"/>
  <c r="O14" i="1"/>
  <c r="N14" i="1"/>
  <c r="M14" i="1"/>
  <c r="L14" i="1"/>
  <c r="K14" i="1"/>
  <c r="I14" i="1"/>
  <c r="H14" i="1"/>
  <c r="G14" i="1"/>
  <c r="E14" i="1"/>
  <c r="O5" i="1"/>
  <c r="N5" i="1"/>
  <c r="M5" i="1"/>
  <c r="L5" i="1"/>
  <c r="K5" i="1"/>
  <c r="J5" i="1"/>
  <c r="I5" i="1"/>
  <c r="H5" i="1"/>
  <c r="G5" i="1"/>
  <c r="E5" i="1"/>
  <c r="D41" i="15" l="1"/>
  <c r="O5" i="3"/>
  <c r="N36" i="3"/>
  <c r="D4" i="15"/>
  <c r="D79" i="15"/>
  <c r="D31" i="15"/>
  <c r="D67" i="15"/>
  <c r="D37" i="15"/>
  <c r="D82" i="15"/>
  <c r="E88" i="3"/>
  <c r="B14" i="1"/>
  <c r="B5" i="1"/>
  <c r="G73" i="3"/>
  <c r="B39" i="15"/>
  <c r="B87" i="15"/>
  <c r="C87" i="15"/>
  <c r="D87" i="15" s="1"/>
  <c r="B38" i="1"/>
  <c r="K88" i="3"/>
  <c r="D73" i="3"/>
  <c r="M5" i="3"/>
  <c r="O42" i="3"/>
  <c r="B32" i="1"/>
  <c r="G14" i="3"/>
  <c r="D80" i="3"/>
  <c r="B26" i="1"/>
  <c r="G5" i="3"/>
  <c r="M14" i="3"/>
  <c r="B88" i="3"/>
  <c r="D88" i="3" s="1"/>
  <c r="J80" i="3"/>
  <c r="C88" i="3"/>
  <c r="D5" i="3"/>
  <c r="J5" i="3"/>
  <c r="D14" i="3"/>
  <c r="J14" i="3"/>
  <c r="O38" i="3"/>
  <c r="G80" i="3"/>
  <c r="M80" i="3"/>
  <c r="O22" i="3"/>
  <c r="G22" i="3"/>
  <c r="M22" i="3"/>
  <c r="D30" i="3"/>
  <c r="J30" i="3"/>
  <c r="D44" i="15"/>
  <c r="D22" i="3"/>
  <c r="J22" i="3"/>
  <c r="N32" i="3"/>
  <c r="N45" i="3"/>
  <c r="M73" i="3"/>
  <c r="D93" i="3"/>
  <c r="J93" i="3"/>
  <c r="D92" i="15"/>
  <c r="J73" i="3"/>
  <c r="H88" i="3"/>
  <c r="K40" i="3"/>
  <c r="K94" i="3" s="1"/>
  <c r="C32" i="1"/>
  <c r="C38" i="1"/>
  <c r="H101" i="2"/>
  <c r="E101" i="2"/>
  <c r="O93" i="3"/>
  <c r="O14" i="3"/>
  <c r="L88" i="3"/>
  <c r="C14" i="1"/>
  <c r="C26" i="1"/>
  <c r="N5" i="3"/>
  <c r="N22" i="3"/>
  <c r="O26" i="3"/>
  <c r="N73" i="3"/>
  <c r="H40" i="3"/>
  <c r="O32" i="3"/>
  <c r="P32" i="3"/>
  <c r="B22" i="1"/>
  <c r="B30" i="1"/>
  <c r="B36" i="1"/>
  <c r="C40" i="3"/>
  <c r="N30" i="3"/>
  <c r="O30" i="3"/>
  <c r="I88" i="3"/>
  <c r="P68" i="3"/>
  <c r="P80" i="3"/>
  <c r="P83" i="3"/>
  <c r="I101" i="2"/>
  <c r="L40" i="3"/>
  <c r="N38" i="3"/>
  <c r="N42" i="3"/>
  <c r="F101" i="2"/>
  <c r="I40" i="3"/>
  <c r="N14" i="3"/>
  <c r="O68" i="3"/>
  <c r="O80" i="3"/>
  <c r="O83" i="3"/>
  <c r="C5" i="1"/>
  <c r="C22" i="1"/>
  <c r="C30" i="1"/>
  <c r="C36" i="1"/>
  <c r="G101" i="2"/>
  <c r="E40" i="3"/>
  <c r="E94" i="3" s="1"/>
  <c r="N26" i="3"/>
  <c r="O36" i="3"/>
  <c r="P36" i="3"/>
  <c r="F88" i="3"/>
  <c r="O45" i="3"/>
  <c r="O73" i="3"/>
  <c r="N83" i="3"/>
  <c r="C39" i="15"/>
  <c r="D39" i="15" s="1"/>
  <c r="P22" i="3"/>
  <c r="P26" i="3"/>
  <c r="P30" i="3"/>
  <c r="P38" i="3"/>
  <c r="B40" i="3"/>
  <c r="F40" i="3"/>
  <c r="P42" i="3"/>
  <c r="N68" i="3"/>
  <c r="N80" i="3"/>
  <c r="N93" i="3"/>
  <c r="P14" i="3"/>
  <c r="P5" i="3"/>
  <c r="P45" i="3"/>
  <c r="P73" i="3"/>
  <c r="P93" i="3"/>
  <c r="B93" i="15" l="1"/>
  <c r="L94" i="3"/>
  <c r="M94" i="3" s="1"/>
  <c r="G40" i="3"/>
  <c r="M88" i="3"/>
  <c r="M40" i="3"/>
  <c r="H94" i="3"/>
  <c r="O88" i="3"/>
  <c r="G88" i="3"/>
  <c r="D40" i="3"/>
  <c r="N40" i="3"/>
  <c r="B94" i="3"/>
  <c r="P40" i="3"/>
  <c r="I94" i="3"/>
  <c r="J40" i="3"/>
  <c r="J88" i="3"/>
  <c r="C94" i="3"/>
  <c r="P88" i="3"/>
  <c r="C93" i="15"/>
  <c r="D93" i="15" s="1"/>
  <c r="F94" i="3"/>
  <c r="O40" i="3"/>
  <c r="N88" i="3"/>
  <c r="P94" i="3" l="1"/>
  <c r="J94" i="3"/>
  <c r="G94" i="3"/>
  <c r="N94" i="3"/>
  <c r="D94" i="3"/>
  <c r="O94" i="3"/>
  <c r="F96" i="2" l="1"/>
  <c r="E96" i="2"/>
  <c r="H96" i="2"/>
  <c r="D96" i="2"/>
  <c r="I96" i="2"/>
  <c r="C96" i="2"/>
  <c r="G96" i="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<sst xmlns="http://schemas.openxmlformats.org/spreadsheetml/2006/main" count="2215" uniqueCount="672">
  <si>
    <t>Классификация чрезвычайных ситуаций</t>
  </si>
  <si>
    <t>Количество, чел.</t>
  </si>
  <si>
    <t>Всего</t>
  </si>
  <si>
    <t>муниципальные</t>
  </si>
  <si>
    <t>межмуниципальные</t>
  </si>
  <si>
    <t>региональные</t>
  </si>
  <si>
    <t>межрегиональные</t>
  </si>
  <si>
    <t>федеральные</t>
  </si>
  <si>
    <t>погибло</t>
  </si>
  <si>
    <t>пострадало</t>
  </si>
  <si>
    <t>спасено</t>
  </si>
  <si>
    <t>Техногенные ЧС</t>
  </si>
  <si>
    <t>Природные ЧС</t>
  </si>
  <si>
    <t>Итого:</t>
  </si>
  <si>
    <t>Чрезвычайные ситуации по характеру и виду источников возникновения</t>
  </si>
  <si>
    <t>Техногенные ЧС, ед.</t>
  </si>
  <si>
    <t>Природные ЧС, ед.</t>
  </si>
  <si>
    <t>Общее количество ЧС, ед.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</si>
  <si>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</si>
  <si>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</si>
  <si>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</si>
  <si>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</si>
  <si>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</si>
  <si>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</si>
  <si>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</si>
  <si>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</si>
  <si>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</si>
  <si>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</si>
  <si>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</si>
  <si>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</si>
  <si>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</si>
  <si>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</si>
  <si>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</si>
  <si>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</si>
  <si>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</si>
  <si>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– Кузбасс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</si>
  <si>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</si>
  <si>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</si>
  <si>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</si>
  <si>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</si>
  <si>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</si>
  <si>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</si>
  <si>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</si>
  <si>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–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</si>
  <si>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</si>
  <si>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</si>
  <si>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</si>
  <si>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</si>
  <si>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</si>
  <si>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</si>
  <si>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</si>
  <si>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</si>
  <si>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</si>
  <si>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</si>
  <si>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</si>
  <si>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</si>
  <si>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</si>
  <si>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</si>
  <si>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</si>
  <si>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</si>
  <si>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</si>
  <si>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</si>
  <si>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</si>
  <si>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</si>
  <si>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</si>
  <si>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</si>
  <si>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</si>
  <si>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</si>
  <si>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</si>
  <si>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</si>
  <si>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</si>
  <si>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(Алания)</t>
  </si>
  <si>
    <t>Чеченская Республика</t>
  </si>
  <si>
    <t>Ставропольский край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</si>
  <si>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</si>
  <si>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</si>
  <si>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</si>
  <si>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</si>
  <si>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</si>
  <si>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</si>
  <si>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</si>
  <si>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</si>
  <si>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</si>
  <si>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</si>
  <si>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</si>
  <si>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</si>
  <si>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</si>
  <si>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</si>
  <si>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</si>
  <si>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</si>
  <si>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</si>
  <si>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</si>
  <si>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</si>
  <si>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</si>
  <si>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</si>
  <si>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</si>
  <si>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</si>
  <si>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</si>
  <si>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</si>
  <si>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</si>
  <si>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</si>
  <si>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</si>
  <si>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</si>
  <si>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Федеральный округ, субъект Российской Федерации</t>
  </si>
  <si>
    <t>Количество ЧС, ед.</t>
  </si>
  <si>
    <t>Сравнительная характеристика,%</t>
  </si>
  <si>
    <t>Погибло, чел.</t>
  </si>
  <si>
    <t>Пострадало, чел.</t>
  </si>
  <si>
    <t>Спасено, чел.</t>
  </si>
  <si>
    <t>Сравнительная характеристика, %</t>
  </si>
  <si>
    <t>Техногенные чрезвычайные ситуации</t>
  </si>
  <si>
    <t>Природные чрезвычайные ситуации</t>
  </si>
  <si>
    <t>ВСЕГО:</t>
  </si>
  <si>
    <t>ДФО</t>
  </si>
  <si>
    <t>ГРАФИКИ как в госдокладе</t>
  </si>
  <si>
    <t>СФО</t>
  </si>
  <si>
    <t>УФО</t>
  </si>
  <si>
    <t>ПФО</t>
  </si>
  <si>
    <t>ЮФО</t>
  </si>
  <si>
    <t>СКФО</t>
  </si>
  <si>
    <t>СЗФО</t>
  </si>
  <si>
    <t>ЦФО</t>
  </si>
  <si>
    <t>2022 г</t>
  </si>
  <si>
    <t>локальные</t>
  </si>
  <si>
    <t>2022 г.</t>
  </si>
  <si>
    <t>ВСЕГО на территории РФ:</t>
  </si>
  <si>
    <t>1 Транспортные аварии</t>
  </si>
  <si>
    <t>1.1 Аварии на метрополитене</t>
  </si>
  <si>
    <t>1.2 Аварии на железнодорожном транспорте</t>
  </si>
  <si>
    <t>1.3 Аварии на монорельсовом транспорте</t>
  </si>
  <si>
    <t>1.4 Аварии на подвесной и наземной канатной дороге транспортной</t>
  </si>
  <si>
    <t>1.5 Аварии на автомобильном транспорте</t>
  </si>
  <si>
    <t>1.6 Аварии на водном транспорте</t>
  </si>
  <si>
    <t>1.7 Аварии на воздушном транспорте</t>
  </si>
  <si>
    <t>1.8 Ракетно-космические катастрофы и аварии на стартовых комплексах и в населенных пунктах и вне стартовых комплексов и населенных пунктов</t>
  </si>
  <si>
    <t>2 Взрывы (в том числе с последующим горением) и (или) разрушения (обрушения) в зданиях и сооружениях</t>
  </si>
  <si>
    <t>2.1 Взрывы и (или) разрушения (обрушения) в зданиях, сооружениях, предназначенных для постоянного или длительного (круглосуточного) проживания людей</t>
  </si>
  <si>
    <t>2.7 Обнаружение (взрыв) взрывоопасного предмета</t>
  </si>
  <si>
    <t>2.2 Взрывы и (или) разрушения (обрушения) в зданиях, сооружениях, предназначенных для временного пребывания людей, преимущественно ритмичного характера (рабочий день, школьная смена, сеанс и т. д.)</t>
  </si>
  <si>
    <t>2.3 Взрывы и (или) разрушения (обрушения) в зданиях, сооружениях, предназначенных для производственного или складского назначения</t>
  </si>
  <si>
    <t>2.4 Взрывы и (или) разрушения (обрушения) открытых и крытых спортивно-физкультурных, зрелищных, торговых сооружений (стадионы, спортивно-развлекательные комплексы, рынки)</t>
  </si>
  <si>
    <t>2.5 Разрушения (обрушения) элементов транспортной и инженерной инфраструктуры (мосты и тоннели длиной 500 м и более)</t>
  </si>
  <si>
    <t>2.6 Аварии на объектах ведения горных работ (шахты, подземные и горные выработки)</t>
  </si>
  <si>
    <t>3 Аварии на системах жизнеобеспечения</t>
  </si>
  <si>
    <t>3.1 Аварии на объектах теплоснабжения</t>
  </si>
  <si>
    <t>3.3 Аварии на очистных сооружениях</t>
  </si>
  <si>
    <t>3.2 Аварии на объектах водоснабжения, электроэнергетики и газораспределительных систем</t>
  </si>
  <si>
    <t>4 Аварии с выбросом, сбросом опасных химических веществ</t>
  </si>
  <si>
    <t>4.3 Аварии с боевыми отравляющими веществами</t>
  </si>
  <si>
    <t>4.1 Аварии на транспорте с выбросом, разливом, рассыпанием, сбросом опасных химических веществ</t>
  </si>
  <si>
    <t>4.2 Аварии с выбросом, сбросом опасных химических веществ при производстве, переработке или хранении (захоронении, в том числе в водном объекте)</t>
  </si>
  <si>
    <t>5 Аварии с разливом (выбросом) нефти, нефтепродуктов</t>
  </si>
  <si>
    <t>5.1 Аварии с разливом (выбросом) нефти (нефтепродуктов) на объектах геологического изучения, разведки и добычи углеводородного сырья, а также при переработке, производстве, хранении, реализации углеводородного сырья и произведенной из него продукции</t>
  </si>
  <si>
    <t>6 Радиационные аварии с выбросом, сбросом, проливом, просыпом ядерных материалов, радиоактивных веществ и радиоактивных отходов</t>
  </si>
  <si>
    <t>6.1 Аварии на объектах использования атомной энергии с выбросом радиоактивных веществ (за исключением промплощадок объектов использования атомной энергии и территорий с существующим радиоактивным загрязнением за счет прошлой деятельности и аварий со статусом «зона отчуждения»)</t>
  </si>
  <si>
    <t>6.2 Загрязнение (возможное загрязнение) открытых источников водоснабжения (за исключением технических водоемов объектов использования атомной энергии и водоемов с существующим радиоактивным загрязнением за счет прошлой деятельности и аварий), обусловленное выбросом/сбросом радиоактивных веществ</t>
  </si>
  <si>
    <t>6.3 Радиологические аварийные ситуации с источниками ионизирующего излучения и при транспортировке радиоактивных веществ</t>
  </si>
  <si>
    <t>7 Аварии с выбросом (проливом, просыпом) патогенных для человека микроорганизмов</t>
  </si>
  <si>
    <t>7.1 Аварии с выбросом (проливом, просыпом) патогенных для человека микроорганизмов на предприятиях, транспорте и в научно-исследовательских учреждениях (лабораториях)</t>
  </si>
  <si>
    <t>8 Гидродинамические аварии</t>
  </si>
  <si>
    <t>8.1 Аварии на гидротехнических сооружениях</t>
  </si>
  <si>
    <r>
      <t>Чрезвыч</t>
    </r>
    <r>
      <rPr>
        <b/>
        <sz val="10"/>
        <color rgb="FF000000"/>
        <rFont val="Times New Roman"/>
        <family val="1"/>
        <charset val="204"/>
      </rPr>
      <t>айные ситуации по характеру и виду источников возникновения</t>
    </r>
  </si>
  <si>
    <t>Сравнительная характеристика,           %</t>
  </si>
  <si>
    <t>1 Опасные геофизические явления</t>
  </si>
  <si>
    <t>1.1 Вулканическое извержение</t>
  </si>
  <si>
    <t>1.2 Землетрясение</t>
  </si>
  <si>
    <t>2 Опасные геологические явления</t>
  </si>
  <si>
    <t>2.1 Оползни, обвалы, осыпи</t>
  </si>
  <si>
    <t>2.2 Карст, суффозия, просадка в лесовых грунтах</t>
  </si>
  <si>
    <t>2.3 Овражная (плоскостная) эрозия</t>
  </si>
  <si>
    <t>3 Опасные метеорологические явления</t>
  </si>
  <si>
    <t>3.3 Сильный ливень</t>
  </si>
  <si>
    <t>3.4 Продолжительный дождь</t>
  </si>
  <si>
    <t>3.5 Очень сильный снег</t>
  </si>
  <si>
    <t>3.6 Сильный мороз</t>
  </si>
  <si>
    <t>3.7 Сильная жара</t>
  </si>
  <si>
    <t>3.8 Крупный град</t>
  </si>
  <si>
    <t>3.9 Сильная метель</t>
  </si>
  <si>
    <t>3.10 Сильная пыльная (песчаная) буря</t>
  </si>
  <si>
    <t>3.11 Сильное гололедно-изморозевое отложение</t>
  </si>
  <si>
    <t>3.12 Сильный туман</t>
  </si>
  <si>
    <t>3.13 Заморозки</t>
  </si>
  <si>
    <t>3.14 Засуха атмосферная</t>
  </si>
  <si>
    <t>3.15 Засуха почвенная</t>
  </si>
  <si>
    <t>3.16 Сход снежных лавин</t>
  </si>
  <si>
    <t>3.17 Комплекс неблагоприятных явлений</t>
  </si>
  <si>
    <t>3.2 Очень сильный дождь (мокрый снег, дождь со снегом)</t>
  </si>
  <si>
    <t>3.1 Очень сильный ветер, ураганный ветер, шквал, смерч</t>
  </si>
  <si>
    <t>2.4 Криогенное пучение и растрескивание, термо- карст, куру мы</t>
  </si>
  <si>
    <t>4 Морские опасные гидрометеорологические явления</t>
  </si>
  <si>
    <t>4.1 Цунами</t>
  </si>
  <si>
    <t>4.2 Очень сильный ветер, ураганный ветер (ураган)</t>
  </si>
  <si>
    <t>4.3 Сгонно-нагонные явления</t>
  </si>
  <si>
    <t>4.4 Сильное волнение</t>
  </si>
  <si>
    <t>5 Опасные гидрологические явления</t>
  </si>
  <si>
    <t>5.2 Низкие уровни воды (низкая межень)</t>
  </si>
  <si>
    <t>5.3 Раннее ледообразование</t>
  </si>
  <si>
    <t>5.4 Сель</t>
  </si>
  <si>
    <t>5.5 Абразия</t>
  </si>
  <si>
    <t>5.6 Речная эрозия</t>
  </si>
  <si>
    <t>5.1 Высокие уровни воды (половодье, зажор, затор, дождевой паводок)</t>
  </si>
  <si>
    <t>6 Опасные явления в лесах</t>
  </si>
  <si>
    <t>6.2 Очаги вредителей леса</t>
  </si>
  <si>
    <t>6.1 Лесные пожары и другие ландшафтные (природные) пожары</t>
  </si>
  <si>
    <t>7 Гелиогеофизические явления</t>
  </si>
  <si>
    <t>7.1 Сильное возмущение ионосферы с нарушением коротковолновой связи</t>
  </si>
  <si>
    <t>7.2 Сильное возмущение радиационной обстановки в околоземном космическом пространстве</t>
  </si>
  <si>
    <t>8 Космические опасности</t>
  </si>
  <si>
    <t>8.1 Астероидно-кометная опасность</t>
  </si>
  <si>
    <t>2 Эпизоотии</t>
  </si>
  <si>
    <t>3 Эпифитотии</t>
  </si>
  <si>
    <t>1 Эпидемии, массовые отравления</t>
  </si>
  <si>
    <t>Природные чрезвычайные ситуации, связанные с биологической опасностью</t>
  </si>
  <si>
    <t>Материальный ущерб, тыс. руб.</t>
  </si>
  <si>
    <t>2.4 Криогенное пучение и растрескивание, термокарст, курумы</t>
  </si>
  <si>
    <t>Примечание:</t>
  </si>
  <si>
    <t>2.4 Криогенное пучение и растрескивание, термо- карст, курумы</t>
  </si>
  <si>
    <t>*В 2021 году произошли 2 чрезвычайные ситуации муниципального характера, обусловленные отрывом прибрежных льдов, в результате которых спасены 14 человек.</t>
  </si>
  <si>
    <t>Прирост/снижение 
по колчичеству ЧС</t>
  </si>
  <si>
    <t>Прирост/снижение 
по погибшим</t>
  </si>
  <si>
    <t>Прирост/снижение 
по спасенным</t>
  </si>
  <si>
    <t>*В 2021 году произошли 2 чрезвычайные ситуации муниципального характера, обусловленные отрывом прибрежных льдов, в результате которых ущерб составил 100 тыс. руб.</t>
  </si>
  <si>
    <t>2023 г</t>
  </si>
  <si>
    <t>стр 14</t>
  </si>
  <si>
    <t>стр 11</t>
  </si>
  <si>
    <t>рис 1.2</t>
  </si>
  <si>
    <t>стр 12 рис 1,5</t>
  </si>
  <si>
    <t>2023 г.</t>
  </si>
  <si>
    <t>стр 29</t>
  </si>
  <si>
    <t>стр 32</t>
  </si>
  <si>
    <t>Количество зарегистрированных пожаров, ед.</t>
  </si>
  <si>
    <t>Количество людей, погибших в результате пожаров, ед.</t>
  </si>
  <si>
    <t>Количество людей, травмированных в результате пожаров, ед.</t>
  </si>
  <si>
    <t>Количество людей, спасенных при пожарах, ед.</t>
  </si>
  <si>
    <t>Прямой материальный ущерб от пожаров, тыс. руб.</t>
  </si>
  <si>
    <t>Инфекционные заболевания и отравления людей</t>
  </si>
  <si>
    <t>Количество групповых заболеваний, ед.</t>
  </si>
  <si>
    <t>Количество неблагополучных районов, ед.</t>
  </si>
  <si>
    <t>Число потерь населения, чел.</t>
  </si>
  <si>
    <t>заболели</t>
  </si>
  <si>
    <t>умерли</t>
  </si>
  <si>
    <t>Инфекционные</t>
  </si>
  <si>
    <t>Паразитарные</t>
  </si>
  <si>
    <t>Пищевая токсикоинфекция</t>
  </si>
  <si>
    <t>Прочие отравления</t>
  </si>
  <si>
    <t>ВСЕГО                                            на территории  Российской       Федерации:</t>
  </si>
  <si>
    <t>ВСЕГО на территории Российской Федерации:</t>
  </si>
  <si>
    <t>Федеральный округ</t>
  </si>
  <si>
    <t>Количество зарегистрированных случаев /неблагополучных пунктов</t>
  </si>
  <si>
    <t>Количество животных, птиц, тыс. голов</t>
  </si>
  <si>
    <t>уничтожены (пали)</t>
  </si>
  <si>
    <t>Бешенство диких животных (случаев)</t>
  </si>
  <si>
    <t>Бешенство сельскохозяйственных животных (случаев)</t>
  </si>
  <si>
    <t>Высокопатогенный грипп птиц (случаев)</t>
  </si>
  <si>
    <t>Ящур КРС (случаев)</t>
  </si>
  <si>
    <t>Лептоспироз КРС (небл. пунктов)</t>
  </si>
  <si>
    <t>Лептоспироз МРС (небл. пунктов)</t>
  </si>
  <si>
    <t>Бруцеллез КРС (небл. пунктов)</t>
  </si>
  <si>
    <t>Бруцеллез МРС (небл. пунктов)</t>
  </si>
  <si>
    <t>Пастереллез КРС (небл. пунктов)</t>
  </si>
  <si>
    <t>Пастереллез МРС (небл. пунктов)</t>
  </si>
  <si>
    <t>Некробактериоз КРС (небл. пунктов)</t>
  </si>
  <si>
    <t>Африканская чума свиней, домашние свиньи (случаев)</t>
  </si>
  <si>
    <t>Африканская чума свиней, дикие кабаны (случаев)</t>
  </si>
  <si>
    <t>Сальмонеллез КРС (небл. пунктов)</t>
  </si>
  <si>
    <t>Инфекционный ринохеит КРС (небл. пунктов)</t>
  </si>
  <si>
    <t>Эмфизематозный карбункул КРС (небл. пунктов)</t>
  </si>
  <si>
    <t>Лейкоз КРС (небл. пунктов)</t>
  </si>
  <si>
    <t>Листериоз КРС (небл. пунктов)</t>
  </si>
  <si>
    <t>Листериоз МРС (небл. пунктов)</t>
  </si>
  <si>
    <t>Болезнь Ньюкасла (небл. пунктов)</t>
  </si>
  <si>
    <t>Трихинеллез диких животных (небл. пунктов)</t>
  </si>
  <si>
    <t>Хламидиоз КРС (небл. пунктов)</t>
  </si>
  <si>
    <t>Орнитоз птиц (небл. пунктов)</t>
  </si>
  <si>
    <t>Некробактериоз северных домашних оленей (небл. пунктов)</t>
  </si>
  <si>
    <t>Заразный узелковый дерматит КРС (случаев)</t>
  </si>
  <si>
    <t>ИТОГО</t>
  </si>
  <si>
    <t>ВСЕГО на территории Российской Федерации</t>
  </si>
  <si>
    <t>Количество чрезвычайных ситуаций (очагов), ед.</t>
  </si>
  <si>
    <t>Площадь очагов, тыс. га</t>
  </si>
  <si>
    <t>Центральный федеральный округ</t>
  </si>
  <si>
    <t>Болезни леса</t>
  </si>
  <si>
    <t>Вредители леса</t>
  </si>
  <si>
    <t>Северо-Западный федеральный округ</t>
  </si>
  <si>
    <t>Приволжский федеральный округ</t>
  </si>
  <si>
    <t>Южный федеральный округ</t>
  </si>
  <si>
    <t>Северо-Кавказский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</si>
  <si>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</si>
  <si>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</si>
  <si>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</si>
  <si>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(более 100 га по видам болезней)</t>
  </si>
  <si>
    <t>(более 100 га по видам вредителей)</t>
  </si>
  <si>
    <t>Количество зарегистрированных водных проишествий, ед.</t>
  </si>
  <si>
    <t>Количество людей, погибших в результате  водных проишествий, ед.</t>
  </si>
  <si>
    <t>Количество людей, травмированных в результате  водных проишествий, ед.</t>
  </si>
  <si>
    <t>Количество людей, спасенных при водных проишествиях, ед.</t>
  </si>
  <si>
    <t>водн. Чп</t>
  </si>
  <si>
    <t>построен ортофотоплан местности</t>
  </si>
  <si>
    <t>выявлено термических точек</t>
  </si>
  <si>
    <t>подготовлено высокодетальных космических снимков</t>
  </si>
  <si>
    <t xml:space="preserve">            по лесопожарной обстановке (в т.ч.)</t>
  </si>
  <si>
    <t xml:space="preserve">            по паводсковой обстановке (в т.ч.)</t>
  </si>
  <si>
    <t>моделей подготовлено</t>
  </si>
  <si>
    <t>прогнозов подготовлено</t>
  </si>
  <si>
    <t>Деятельность ЦУКС</t>
  </si>
  <si>
    <t>образование</t>
  </si>
  <si>
    <t>прохождение службы (прохождение военной, государственной службы, продление контракта, увольнение со службы, награждение государственными наградами)</t>
  </si>
  <si>
    <t>жилищные вопросы (предоставление субсидий, ЕСВ, ГЖС, служебного жилья, выселение)</t>
  </si>
  <si>
    <t>гражданская оборона (содержание и обслуживание ЗСГО)</t>
  </si>
  <si>
    <t>деятельность и принимаемые решения МЧС России (отдельные вопросы касающиеся деятельности МЧС России)</t>
  </si>
  <si>
    <t>предупреждение и преодоление ЧС</t>
  </si>
  <si>
    <t>запросы архивных данных</t>
  </si>
  <si>
    <t>деятельность ГИМС</t>
  </si>
  <si>
    <t>Доля, %</t>
  </si>
  <si>
    <t>детализация тематик обращения граждан</t>
  </si>
  <si>
    <t>Итого</t>
  </si>
  <si>
    <t xml:space="preserve">   техники, ед.</t>
  </si>
  <si>
    <t xml:space="preserve">   личный состав, чел.</t>
  </si>
  <si>
    <t xml:space="preserve">   водолазы</t>
  </si>
  <si>
    <t xml:space="preserve">   кинологи</t>
  </si>
  <si>
    <t>К ликвидации ЧС привлекалось:</t>
  </si>
  <si>
    <t>Спасенных</t>
  </si>
  <si>
    <t>ИТОГО:</t>
  </si>
  <si>
    <t>на ложные вызовы</t>
  </si>
  <si>
    <t>на ПСР в лесах и горах</t>
  </si>
  <si>
    <t>на ПСР на водных объектах</t>
  </si>
  <si>
    <t>23 стр НЦУКС</t>
  </si>
  <si>
    <t>проведено мероприятий</t>
  </si>
  <si>
    <t xml:space="preserve">единиц техники </t>
  </si>
  <si>
    <t>гражданского персонала</t>
  </si>
  <si>
    <t>СЦ МЧС России и Рузский ЦОПУ</t>
  </si>
  <si>
    <t>Задействовано формирований</t>
  </si>
  <si>
    <t>Оказана помощь</t>
  </si>
  <si>
    <t xml:space="preserve">   на ПСР</t>
  </si>
  <si>
    <t xml:space="preserve">   на ДТП</t>
  </si>
  <si>
    <t xml:space="preserve">   на техногенные пожары</t>
  </si>
  <si>
    <t>спасательные воинские формирования МЧС России</t>
  </si>
  <si>
    <t xml:space="preserve">   других ВОП</t>
  </si>
  <si>
    <t xml:space="preserve">   инженерный боеприпас</t>
  </si>
  <si>
    <t xml:space="preserve">   артиллерийских снарядов</t>
  </si>
  <si>
    <t xml:space="preserve">   авиационных бомб</t>
  </si>
  <si>
    <t>Работа пиротехнических подразделений МЧС России</t>
  </si>
  <si>
    <t>технические работы проведены</t>
  </si>
  <si>
    <t>профилактических обследований обслуживаемых предприятий</t>
  </si>
  <si>
    <t xml:space="preserve"> в т.ч. в подземных условиях </t>
  </si>
  <si>
    <t>оказаний медицинской помощи</t>
  </si>
  <si>
    <t>спасенных</t>
  </si>
  <si>
    <t>ликвидированных аварий</t>
  </si>
  <si>
    <t>Военизированные горноспасательные части МЧС России</t>
  </si>
  <si>
    <t>единиц техники</t>
  </si>
  <si>
    <t>фактическая численность группировки сил</t>
  </si>
  <si>
    <t xml:space="preserve">Противофонтанные военизированные части </t>
  </si>
  <si>
    <t xml:space="preserve">             выдано разрешений</t>
  </si>
  <si>
    <t xml:space="preserve">             выдано запрещений</t>
  </si>
  <si>
    <t xml:space="preserve">             выдано предписаний</t>
  </si>
  <si>
    <t xml:space="preserve">             выявлено нарушений</t>
  </si>
  <si>
    <t>профилактических обследования обслуживаемых предприятий</t>
  </si>
  <si>
    <t>согласований планов ликвидации аварий</t>
  </si>
  <si>
    <t>учебно-тренировочных занятий</t>
  </si>
  <si>
    <t xml:space="preserve">технических работ на устьях скважин </t>
  </si>
  <si>
    <t>Проведено</t>
  </si>
  <si>
    <t>Противофонтанные военизированные части МЧС России</t>
  </si>
  <si>
    <t>массовых профилактических мероприятий</t>
  </si>
  <si>
    <t>Предписаний по устранению нарушений требований пожарной безопасности</t>
  </si>
  <si>
    <t>нарушений требований пожарной безопасности</t>
  </si>
  <si>
    <t>контрольных (надзорных мероприятий)</t>
  </si>
  <si>
    <t>информационных материалов размещено в социальных сетях</t>
  </si>
  <si>
    <t>человек обучено мерам пожарной безопасности</t>
  </si>
  <si>
    <t>практических отработок по эвакуации людей из зданий и действий в случае ЧС, отработок оперативных планов и карточек тушения пожаров</t>
  </si>
  <si>
    <t>количество пожаров на объектах и ЗАТО</t>
  </si>
  <si>
    <t>2023г.</t>
  </si>
  <si>
    <t>СПО ФПС</t>
  </si>
  <si>
    <t>научно-практическая конференция "Психология экстремальных ситуаций. Теория и практика"</t>
  </si>
  <si>
    <t xml:space="preserve">       участников</t>
  </si>
  <si>
    <t xml:space="preserve">       команд</t>
  </si>
  <si>
    <t>Профессиональная лига</t>
  </si>
  <si>
    <t>Студенческая лига</t>
  </si>
  <si>
    <t xml:space="preserve">      охват населения</t>
  </si>
  <si>
    <t>добровольцев</t>
  </si>
  <si>
    <t xml:space="preserve">      мероприятий</t>
  </si>
  <si>
    <t>добровольческих отрядов</t>
  </si>
  <si>
    <t>Студенческая добровольческая лига</t>
  </si>
  <si>
    <t>Количество привлечений психологов</t>
  </si>
  <si>
    <t>Пожаров самостоятельно потушено</t>
  </si>
  <si>
    <t>подразделений</t>
  </si>
  <si>
    <t>В ДОБРОВОЛЬНОЙ 
ПОЖАРНОЙ ОХРАНЕ:</t>
  </si>
  <si>
    <t>бесед по вопросам соблюдения правил безопасности при возникновении ЧС (пожаров) и безопасности жизнедеятельности</t>
  </si>
  <si>
    <t>обследований многоквартирных жилых домов и придомовых территорий</t>
  </si>
  <si>
    <t>ПРОВЕДЕНИЕ ПРОФИЛАКТИЧЕСКИХ МЕРОПРИЯТИЙ:</t>
  </si>
  <si>
    <t>кол-во раз</t>
  </si>
  <si>
    <t>участий в тушении пожаров</t>
  </si>
  <si>
    <t>устранено нарушений требований и реализации полномочий в области защиты населения и территорий от ЧС</t>
  </si>
  <si>
    <t>выявлено нарушений требований и реализации полномочий в области защиты населения и территорий от ЧС</t>
  </si>
  <si>
    <t>выдано предписаний об устранении нарушений обязательных требований и реализации полномочий в области защиты населения и территорий от ЧС</t>
  </si>
  <si>
    <t>проведено плановых и внеплановых контрольных (надзорных) мероприятий</t>
  </si>
  <si>
    <t>Надзор в области защиты населения и территорий от чрезвычайных ситуаций</t>
  </si>
  <si>
    <t xml:space="preserve">вывезено строительного мусора, </t>
  </si>
  <si>
    <t xml:space="preserve">разобрано завалов на площади, </t>
  </si>
  <si>
    <t>очищена и подвезена техническая вода, т</t>
  </si>
  <si>
    <t>доставлено питьевой воды, т</t>
  </si>
  <si>
    <t>очищена территория, га</t>
  </si>
  <si>
    <t>привлечено человек</t>
  </si>
  <si>
    <t>колонн МЧС России</t>
  </si>
  <si>
    <t>Оказание гуманитарной помощи</t>
  </si>
  <si>
    <t xml:space="preserve">          вертолетов</t>
  </si>
  <si>
    <t xml:space="preserve">          самолетов</t>
  </si>
  <si>
    <t xml:space="preserve">воздушное судно на вооружении МЧС России </t>
  </si>
  <si>
    <t xml:space="preserve">авиационно-спасательных центров </t>
  </si>
  <si>
    <t>авиационно-спасательная компания</t>
  </si>
  <si>
    <t>Авиационное обеспечение</t>
  </si>
  <si>
    <t>При тушении пожаров выполнено</t>
  </si>
  <si>
    <t>доставлено тонн грузов</t>
  </si>
  <si>
    <t xml:space="preserve">       человек для ликвидации ЧС</t>
  </si>
  <si>
    <t xml:space="preserve">       человек для ликвидации паводков</t>
  </si>
  <si>
    <t xml:space="preserve">        человек для ликвидации пожаров</t>
  </si>
  <si>
    <t xml:space="preserve">        человек по задачам МЧС России</t>
  </si>
  <si>
    <t>ИТОГО доставлено человек</t>
  </si>
  <si>
    <t>Рейсов санитарной эвакуации</t>
  </si>
  <si>
    <t>Полетов</t>
  </si>
  <si>
    <t>Мероприятия авиационного обеспечения в системе МЧС России</t>
  </si>
  <si>
    <t xml:space="preserve">комбинированного типа </t>
  </si>
  <si>
    <t xml:space="preserve">вертолетного типа </t>
  </si>
  <si>
    <t xml:space="preserve">самолетного типа </t>
  </si>
  <si>
    <t xml:space="preserve">беспилотных авиационных систем на вооружении МЧС России </t>
  </si>
  <si>
    <t>для ликвидации ЧС</t>
  </si>
  <si>
    <t>не определен</t>
  </si>
  <si>
    <t>нет данных</t>
  </si>
  <si>
    <t>тут надо макрос</t>
  </si>
  <si>
    <t>относительно допустимый</t>
  </si>
  <si>
    <t>относительно оптимальный</t>
  </si>
  <si>
    <t>индивидуальный риск в виде (Х,ХХх10-5     стр 105</t>
  </si>
  <si>
    <t>Обобщенный уровень потенциальных опасностей</t>
  </si>
  <si>
    <t>Уровень потенциальных опасностей</t>
  </si>
  <si>
    <t>по данным росстата емисс</t>
  </si>
  <si>
    <t>Числ. Населения</t>
  </si>
  <si>
    <t>индивидуальный риск</t>
  </si>
  <si>
    <t>на водных объектах</t>
  </si>
  <si>
    <t>в ЧС</t>
  </si>
  <si>
    <t>при пожарах</t>
  </si>
  <si>
    <t>Показатели риска</t>
  </si>
  <si>
    <t>Количество погибших, чел.</t>
  </si>
  <si>
    <t>годы</t>
  </si>
  <si>
    <t xml:space="preserve">   </t>
  </si>
  <si>
    <t>IV класс</t>
  </si>
  <si>
    <t>рис 1.57</t>
  </si>
  <si>
    <t>III класс</t>
  </si>
  <si>
    <t>II класс</t>
  </si>
  <si>
    <t>I класс</t>
  </si>
  <si>
    <t>Распределение ГТС по классам опасности</t>
  </si>
  <si>
    <t>водохозяйственного назначения</t>
  </si>
  <si>
    <t>энергетики</t>
  </si>
  <si>
    <t>промышленности</t>
  </si>
  <si>
    <t>Распределение ГТС по видам</t>
  </si>
  <si>
    <t>линии электропередачи</t>
  </si>
  <si>
    <t>тепловые сети</t>
  </si>
  <si>
    <t>электрические подстанции</t>
  </si>
  <si>
    <t>котельные</t>
  </si>
  <si>
    <t xml:space="preserve">гидроэлектростанции </t>
  </si>
  <si>
    <t>малые (технологические) электростанции</t>
  </si>
  <si>
    <t>газотурбинные (газопоршневые) электростанции</t>
  </si>
  <si>
    <t>тепловые электростанции</t>
  </si>
  <si>
    <t>рис 1.55</t>
  </si>
  <si>
    <t>Распределение объектов энергетики по видам</t>
  </si>
  <si>
    <t>рис 1.54</t>
  </si>
  <si>
    <t>рис 1.53</t>
  </si>
  <si>
    <t>Распределение объектов ОПК по классам опасности</t>
  </si>
  <si>
    <t>прочие</t>
  </si>
  <si>
    <t>железнодорожных транспортных средств</t>
  </si>
  <si>
    <t>автомобильных транспортных средств</t>
  </si>
  <si>
    <t>Распределение объектов транспортирования опасных веществ по видам</t>
  </si>
  <si>
    <t>прочие объекты транспортирования</t>
  </si>
  <si>
    <t>рис 1.52</t>
  </si>
  <si>
    <t>объекты транспортирования железнодорожным транспортом</t>
  </si>
  <si>
    <t>рис 1.51</t>
  </si>
  <si>
    <t>объекты транспортирования автомобильным транспортом</t>
  </si>
  <si>
    <t>другие производства</t>
  </si>
  <si>
    <t>склады, базы хранения и отгрузки ОХВ</t>
  </si>
  <si>
    <t>маслоэкстракционные производства</t>
  </si>
  <si>
    <t xml:space="preserve">спиртовые производства </t>
  </si>
  <si>
    <t>криогенно-вакуумной техники</t>
  </si>
  <si>
    <t>аммиачно-холодильные установки</t>
  </si>
  <si>
    <t>объекты целлюлозно-бумажных производств</t>
  </si>
  <si>
    <t>рис 1.50</t>
  </si>
  <si>
    <t>рис 1.49</t>
  </si>
  <si>
    <t>хлорные объекты системы водоподготовки</t>
  </si>
  <si>
    <t>химически опасные производственные объекты</t>
  </si>
  <si>
    <t>Распределение объектов химического комплекса по классам опасности</t>
  </si>
  <si>
    <t>рис 1.47</t>
  </si>
  <si>
    <t>рис 1.46</t>
  </si>
  <si>
    <t>Распределение опасных производственных объектов угольной промышленности по классам</t>
  </si>
  <si>
    <t>Организации осуществляющие деятельность в отношении РОО</t>
  </si>
  <si>
    <t>Ядерных энергетических установок судов</t>
  </si>
  <si>
    <t>Ядерного топливного цикла</t>
  </si>
  <si>
    <t>Распределение РОО по типам</t>
  </si>
  <si>
    <t>рис 1.48</t>
  </si>
  <si>
    <t>рис 1.45</t>
  </si>
  <si>
    <t>№ п/п</t>
  </si>
  <si>
    <t>ДНР</t>
  </si>
  <si>
    <t>ЛНР</t>
  </si>
  <si>
    <t>Запорожская область</t>
  </si>
  <si>
    <t>Херсонская область</t>
  </si>
  <si>
    <t>ДНР, ЛНР, Запорожская область, Херсонская область</t>
  </si>
  <si>
    <t>рис 1.56</t>
  </si>
  <si>
    <t xml:space="preserve">Чувашская Республика – Чувашия </t>
  </si>
  <si>
    <t>Количество протоколов
 об административном правонарушении</t>
  </si>
  <si>
    <t xml:space="preserve">Назначено административных наказаний в виде штрафа на сумму (тыс. руб.) </t>
  </si>
  <si>
    <t>Назначено административных наказаний в виде предупреждения</t>
  </si>
  <si>
    <t xml:space="preserve">Количество решений об административном приостановлении деятельности </t>
  </si>
  <si>
    <t xml:space="preserve">Контрольные надзорные  мероприятия </t>
  </si>
  <si>
    <t>Предписания</t>
  </si>
  <si>
    <t xml:space="preserve">Плановые </t>
  </si>
  <si>
    <t>Количество выданных предписаний</t>
  </si>
  <si>
    <t>Внеплановые</t>
  </si>
  <si>
    <t>Лицензирование деятельности по монтажу, техническому обслуживанию и ремонту средств обеспечения пожарной безопасности зданий и сооружений</t>
  </si>
  <si>
    <t>Лицензирование деятельности по тушению пожаров в населенных пунктах, 
на производственных объектах и объектах инфраструктуры</t>
  </si>
  <si>
    <t>Общее количество действующих лицензий</t>
  </si>
  <si>
    <t>Лицензий 2023 г.</t>
  </si>
  <si>
    <t xml:space="preserve">Количество предоставленных лицензий </t>
  </si>
  <si>
    <t xml:space="preserve">Предоставлено </t>
  </si>
  <si>
    <t xml:space="preserve">Внесено изменений </t>
  </si>
  <si>
    <t xml:space="preserve">Деятельность по тушению пожаров  в населенных пунктах, на производственных объектах и объектах инфраструктуры </t>
  </si>
  <si>
    <t xml:space="preserve">Деятельность по монтажу, техническому обслуживанию и ремонту средств обеспечения пожарной безопасности зданий и сооружений  </t>
  </si>
  <si>
    <t>ВСЕГО                          на территории РФ:</t>
  </si>
  <si>
    <t>Внесено изменений в реестр лицензий</t>
  </si>
  <si>
    <t>ПРЕДОСТАВЛЕНО</t>
  </si>
  <si>
    <t>Предоставлено 
лицензий</t>
  </si>
  <si>
    <t>ВНЕСЕНО ИЗМЕНЕНИЙ</t>
  </si>
  <si>
    <t>Прекращено действие лицензий</t>
  </si>
  <si>
    <t xml:space="preserve">Деятельность Государственной инспекции по маломерным судам </t>
  </si>
  <si>
    <t>Прирост</t>
  </si>
  <si>
    <t>маломерных судов</t>
  </si>
  <si>
    <t>аттестованных судоводителей, всего</t>
  </si>
  <si>
    <t>Поднадзорные объекты:</t>
  </si>
  <si>
    <t>база (сооружение) для стоянок маломерных судов</t>
  </si>
  <si>
    <t>переправа (кроме паромных переправ), на которых используются маломерные суда</t>
  </si>
  <si>
    <t>пляжей, специально оборудованных  для купания</t>
  </si>
  <si>
    <t>ледовых переправ</t>
  </si>
  <si>
    <t>наплавных мостов за пределами ВВП РФ</t>
  </si>
  <si>
    <t xml:space="preserve">Сведения о предоставлении 
государственных услуг </t>
  </si>
  <si>
    <t>услуги по регистрации
маломерных судов</t>
  </si>
  <si>
    <t>услуги по аттестации на право управления маломерным судном</t>
  </si>
  <si>
    <t>услуг по свидетельствованию маломерных судов</t>
  </si>
  <si>
    <t xml:space="preserve">Сведения по делам об административных правонарушениях </t>
  </si>
  <si>
    <t>нарушений</t>
  </si>
  <si>
    <t>штрафов</t>
  </si>
  <si>
    <t>патрулирований на водных объектах</t>
  </si>
  <si>
    <t xml:space="preserve">Чрезвычайное гуманитарное реагирование </t>
  </si>
  <si>
    <t>операций по оказанию медицинской помощи по линии ВОЗ: Палестина, Судан, Сирия, Сомали, Куба</t>
  </si>
  <si>
    <t>операции по медицинской эвакуации: Таджикистан, Алжир, Турция, Саудовская Аравия</t>
  </si>
  <si>
    <t>операция по оказанию технической помощи Киргизии в процессе исполнения</t>
  </si>
  <si>
    <t>ВСЕГО ОПЕРАЦИЙ</t>
  </si>
  <si>
    <t>Профессиональные поисково-спасательные формирования МЧС России, выполняющие поисково-спасательные работы</t>
  </si>
  <si>
    <t>в том числе детей</t>
  </si>
  <si>
    <t xml:space="preserve">   ПАСФ</t>
  </si>
  <si>
    <t xml:space="preserve">   ПСО ГУ МЧС России в ДФО</t>
  </si>
  <si>
    <t>Количество происшествий на водных объектах, ед.</t>
  </si>
  <si>
    <t>Количество людей, погибших в результате происшествий на  водных объектах, ед.</t>
  </si>
  <si>
    <t>Количество людей, травмированных в результате происшествий на водных объектах, ед.</t>
  </si>
  <si>
    <t>Количество людей, спасенных в результате происшествий на водных объектах, ед.</t>
  </si>
  <si>
    <t>обнаружено и обезврежено в т.ч. в ДНР и ЛНР</t>
  </si>
  <si>
    <t>Налёт беспилотной авиации МЧС России</t>
  </si>
  <si>
    <t>выполнено полетов, ед.</t>
  </si>
  <si>
    <t>цели применения БАС</t>
  </si>
  <si>
    <t>оперативно</t>
  </si>
  <si>
    <t>для авиационного сопровождения подтоплений (затоплений)</t>
  </si>
  <si>
    <t>для авиационного сопровождения техногенных пожаров</t>
  </si>
  <si>
    <t>для проведения поисково-
спасательных работ</t>
  </si>
  <si>
    <t>для иных целей (межведомственное взаимодействие)</t>
  </si>
  <si>
    <t>планово</t>
  </si>
  <si>
    <t>для мониторинга паводковой обстановки и водных объектов</t>
  </si>
  <si>
    <t>для мониторинга лесопожарной обстановки</t>
  </si>
  <si>
    <t>для КШУ, КШТ, ПТУ</t>
  </si>
  <si>
    <t>для построения ортофотопланов</t>
  </si>
  <si>
    <t>Прирост/снижение по погибшим</t>
  </si>
  <si>
    <t>Прирост/снижение по спасенным</t>
  </si>
  <si>
    <t>2024 г.</t>
  </si>
  <si>
    <t>всего</t>
  </si>
  <si>
    <t>Наименование инфекционных и наиболее опасных заболеваний животных и птиц</t>
  </si>
  <si>
    <t>работа противопожарной службы и соблюдение требований пожарной безопасности</t>
  </si>
  <si>
    <t>коммунальное хозяйство (содержание общего имущества, ограждающие конструкции, места общего пользования, придомовая территория)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</si>
  <si>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"Маяк", подразделение особого риска и т.п.)</t>
  </si>
  <si>
    <t>Прирост/снижение по количеству ЧС</t>
  </si>
  <si>
    <t>Количество зарегистрированных дорожно-транспортных происшествий, ед.</t>
  </si>
  <si>
    <t>Количество людей, погибших в результате дорожно-транспортных происшествиях, ед.</t>
  </si>
  <si>
    <t>Количество людей, травмированных в дорожно-транспортных происшествиях, ед.</t>
  </si>
  <si>
    <t>Количество людей, спасенных при дорожно-транспортных происшествиях, ед.</t>
  </si>
  <si>
    <t>Оспа овец и коз, (случаев)</t>
  </si>
  <si>
    <t>Сибирская язва, (случаев)</t>
  </si>
  <si>
    <t>Туберкулез КРС, (небл.пунктов)</t>
  </si>
  <si>
    <t>-</t>
  </si>
  <si>
    <t>Болезни  и вредители леса</t>
  </si>
  <si>
    <t>законодательство РФ (вопросы по нормативному регулированию, законодательной и инициативе своего ведения, исполнения судебных решений)</t>
  </si>
  <si>
    <t>лечение, оказание медицинской помощи, санитарная эвакуация пострадавших. Безопасность туризма</t>
  </si>
  <si>
    <t>предложения по внедрению новых инноваций в области тушения пожаров, проведению поисково-спасательных работ</t>
  </si>
  <si>
    <t>на бытовые происшествия</t>
  </si>
  <si>
    <t>на техногенные, в т.ч. ДТП</t>
  </si>
  <si>
    <t xml:space="preserve">   на прочие происшествия</t>
  </si>
  <si>
    <t xml:space="preserve">   на бытовые происшествия</t>
  </si>
  <si>
    <t>военнослужащих</t>
  </si>
  <si>
    <t>2024г.</t>
  </si>
  <si>
    <t>Задействовано</t>
  </si>
  <si>
    <t>Работы по ликвидации газоводонефтепроявления и открытых фонтанов</t>
  </si>
  <si>
    <t>протоколов об административных правонарушениях</t>
  </si>
  <si>
    <t>Всероссийские соревнования "Человеческий фактор"</t>
  </si>
  <si>
    <t>смотр-конкурс "Лучшая КПЭР МЧС России"</t>
  </si>
  <si>
    <t>Спасенных человек</t>
  </si>
  <si>
    <t>подворовых обходов в сельских населенных пунктах</t>
  </si>
  <si>
    <t>Лицензий 2024 г.</t>
  </si>
  <si>
    <t xml:space="preserve">2023 г. </t>
  </si>
  <si>
    <t>Аэромобильными группировками МЧС России проводятся аварийно-восстановительные работы</t>
  </si>
  <si>
    <t>Пункты временного размещения</t>
  </si>
  <si>
    <t>Количество размещенных человек</t>
  </si>
  <si>
    <t>Развернуто действующих пункты временного размещения</t>
  </si>
  <si>
    <t>взрывоопасных предметов, ед.</t>
  </si>
  <si>
    <t>сливов, ед.</t>
  </si>
  <si>
    <t>Группировка БВС на оснащении МЧС России</t>
  </si>
  <si>
    <t>применений по предназначению (в том числе УТП), ед.</t>
  </si>
  <si>
    <t>относительно неприемлемый</t>
  </si>
  <si>
    <t>ср. индивидуальный риск пожары</t>
  </si>
  <si>
    <t>ср. индивидуальный риск ЧС</t>
  </si>
  <si>
    <t>ср. индивидуальный риск водный</t>
  </si>
  <si>
    <t>ср. индивидуальный риск обобщенный</t>
  </si>
  <si>
    <t>Распределение объектов химического комплекса по отраслям</t>
  </si>
  <si>
    <t>Распределение объектов нефтехимической и нефтеперерабатывающей промышленности по классам опасности</t>
  </si>
  <si>
    <t>Распределение объектов нефте- и газодобычи по классам опасности</t>
  </si>
  <si>
    <t>Распределение объектов газораспределения и газопотребления по классам опасности</t>
  </si>
  <si>
    <t>привлечено к административной ответственности</t>
  </si>
  <si>
    <t>конкурс "Лучший психолог МЧС России"</t>
  </si>
  <si>
    <t>добровольных пожарных</t>
  </si>
  <si>
    <t>Аварии с разливом нефтегазоводяной смеси, нефти, газового конденсата, выбросом газа на объектах геологического изучения, разведки и добычи углеводородного сырья при переработке производстве, транспортировке, хранении, реализации углеводородного сырья и произведенной из него продукции</t>
  </si>
  <si>
    <t xml:space="preserve">1.8 Ракетно-космические катастрофы и аварии </t>
  </si>
  <si>
    <t xml:space="preserve">4 Аварии с выбросом, сбросом опасных химических веществ </t>
  </si>
  <si>
    <t>2.7 Взрыв взрывоопасного предмета</t>
  </si>
  <si>
    <t>3.5 Очень сильный снег (снегопад)</t>
  </si>
  <si>
    <t>3.18 Переувлажнение почвы</t>
  </si>
  <si>
    <t>6 Ландшафтные (природные) пожары и очаги вредителей леса</t>
  </si>
  <si>
    <t xml:space="preserve">6.1 Лесные пожары </t>
  </si>
  <si>
    <t>6.3 Ландшафтные (природные) пожары</t>
  </si>
  <si>
    <t>трудовые отношения (трудоустройство, выплата зарплаты, заключение/прекращение трудового контракта/договора)</t>
  </si>
  <si>
    <t>о возможных фактах коррупции, противоправного поведения сотрудников и обжалование действий (бездействий) должностных лиц МЧС России</t>
  </si>
  <si>
    <t>помывка человек, чел.</t>
  </si>
  <si>
    <t>воды, т</t>
  </si>
  <si>
    <t>Общий налет, ч</t>
  </si>
  <si>
    <t>общий налет, ч</t>
  </si>
  <si>
    <t>для мониторинга ледовой обстановки, автодорог, мест купания и выхода людей на лёд и т.д.</t>
  </si>
  <si>
    <t>количество раз реагирования оперативных групп</t>
  </si>
  <si>
    <t>вопросы, связанные с рассмотрением обращений граждан (прекращение рассмотрения обращения, результаты рассмотрения обращения, благодарности, ознакомление с документами и материалами касающимися рассмотрения обращения)</t>
  </si>
  <si>
    <t>Спасены на пожарах, чел.</t>
  </si>
  <si>
    <t>допустимый                     (ГОСТ Р 22.10.02)</t>
  </si>
  <si>
    <t>2004 г.</t>
  </si>
  <si>
    <t>2005 г.</t>
  </si>
  <si>
    <t>2006 г.</t>
  </si>
  <si>
    <t>2007 г.</t>
  </si>
  <si>
    <t>2008 г.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</si>
  <si>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</si>
  <si>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</si>
  <si>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</si>
  <si>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</si>
  <si>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</si>
  <si>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</si>
  <si>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</si>
  <si>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</si>
  <si>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</si>
  <si>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</si>
  <si>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2019 г.</t>
  </si>
  <si>
    <t>2020 г.</t>
  </si>
  <si>
    <t>2021 г.</t>
  </si>
  <si>
    <t>5 Аварии с разливом  (выбросом) нефти, нефтепродуктов, газа и газового конденсата</t>
  </si>
  <si>
    <t>9 Биологические опасности</t>
  </si>
  <si>
    <t>операций по доставке грузов гуманитарной помощи: Куба, Судан, Армения, Афганистан, Пакистан, Южная Осетия, Джибути</t>
  </si>
  <si>
    <t>операций по доставке продовольственной помощи по линии ВПП ООН: Киргизия, Таджикистан, Куба, Джибути, Сомали, ЦАР, Ливан, Палестина, Мадагаскар, Судан, Южный Судан, Йемен, Никарагуа</t>
  </si>
  <si>
    <t>комплексная операция по доставке гуманитарной помощи в ДНР, ЛНР, Запорожскую и Херсонскую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</si>
</sst>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1C6F7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19">
    <xf numFmtId="0" fontId="0" fillId="0" borderId="0" xfId="0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8" xfId="3" applyFont="1" applyBorder="1" applyAlignment="1">
      <alignment horizontal="center" vertical="center" wrapText="1"/>
    </xf>
    <xf numFmtId="0" fontId="5" fillId="3" borderId="3" xfId="3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5" fillId="3" borderId="3" xfId="3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3" borderId="1" xfId="3" applyFont="1" applyBorder="1" applyAlignment="1">
      <alignment vertical="center" wrapText="1"/>
    </xf>
    <xf numFmtId="0" fontId="7" fillId="0" borderId="0" xfId="0" applyFont="1"/>
    <xf numFmtId="0" fontId="5" fillId="3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3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3" borderId="1" xfId="3" applyFont="1" applyBorder="1" applyAlignment="1">
      <alignment horizontal="left" vertical="center" wrapText="1"/>
    </xf>
    <xf numFmtId="0" fontId="5" fillId="2" borderId="1" xfId="2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2" applyFont="1" applyBorder="1" applyAlignment="1" applyProtection="1">
      <alignment horizontal="center" vertical="center" wrapText="1"/>
    </xf>
    <xf numFmtId="0" fontId="5" fillId="2" borderId="1" xfId="2" applyFont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2" borderId="5" xfId="2" applyFont="1" applyBorder="1" applyAlignment="1">
      <alignment horizontal="center" vertical="center" wrapText="1"/>
    </xf>
    <xf numFmtId="0" fontId="7" fillId="0" borderId="0" xfId="0" applyFont="1" applyBorder="1"/>
    <xf numFmtId="0" fontId="5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10" fontId="5" fillId="3" borderId="1" xfId="3" applyNumberFormat="1" applyFont="1" applyBorder="1" applyAlignment="1">
      <alignment horizontal="center" vertical="center" wrapText="1"/>
    </xf>
    <xf numFmtId="10" fontId="5" fillId="2" borderId="1" xfId="2" applyNumberFormat="1" applyFont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0" fontId="12" fillId="5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3" borderId="1" xfId="3" applyFont="1" applyBorder="1" applyAlignment="1" applyProtection="1">
      <alignment horizontal="center" vertical="center" wrapText="1"/>
    </xf>
    <xf numFmtId="0" fontId="14" fillId="3" borderId="1" xfId="3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1" xfId="2" applyFont="1" applyBorder="1" applyAlignment="1">
      <alignment horizontal="center" vertical="center" wrapText="1"/>
    </xf>
    <xf numFmtId="0" fontId="16" fillId="2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/>
    <xf numFmtId="0" fontId="14" fillId="10" borderId="1" xfId="2" applyFont="1" applyFill="1" applyBorder="1" applyAlignment="1">
      <alignment horizontal="center" vertical="center" wrapText="1"/>
    </xf>
    <xf numFmtId="0" fontId="16" fillId="10" borderId="1" xfId="2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 applyProtection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7" fillId="7" borderId="12" xfId="0" applyFont="1" applyFill="1" applyBorder="1"/>
    <xf numFmtId="0" fontId="7" fillId="7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7" fillId="10" borderId="12" xfId="0" applyFont="1" applyFill="1" applyBorder="1"/>
    <xf numFmtId="0" fontId="7" fillId="10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top"/>
    </xf>
    <xf numFmtId="0" fontId="7" fillId="7" borderId="12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9" borderId="2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9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12" xfId="0" applyNumberFormat="1" applyFont="1" applyBorder="1"/>
    <xf numFmtId="0" fontId="7" fillId="0" borderId="12" xfId="0" applyFont="1" applyBorder="1"/>
    <xf numFmtId="0" fontId="7" fillId="9" borderId="12" xfId="0" applyFont="1" applyFill="1" applyBorder="1"/>
    <xf numFmtId="0" fontId="7" fillId="10" borderId="12" xfId="0" applyFont="1" applyFill="1" applyBorder="1" applyAlignment="1">
      <alignment vertical="center" wrapText="1"/>
    </xf>
    <xf numFmtId="10" fontId="7" fillId="0" borderId="12" xfId="0" applyNumberFormat="1" applyFont="1" applyBorder="1"/>
    <xf numFmtId="0" fontId="18" fillId="10" borderId="12" xfId="0" applyFont="1" applyFill="1" applyBorder="1"/>
    <xf numFmtId="0" fontId="7" fillId="9" borderId="12" xfId="0" applyFont="1" applyFill="1" applyBorder="1" applyAlignment="1">
      <alignment horizontal="left" vertical="center"/>
    </xf>
    <xf numFmtId="0" fontId="0" fillId="0" borderId="0" xfId="0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8" fillId="7" borderId="12" xfId="0" applyFont="1" applyFill="1" applyBorder="1"/>
    <xf numFmtId="0" fontId="18" fillId="9" borderId="12" xfId="0" applyFont="1" applyFill="1" applyBorder="1"/>
    <xf numFmtId="0" fontId="18" fillId="9" borderId="12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18" fillId="11" borderId="12" xfId="0" applyFont="1" applyFill="1" applyBorder="1"/>
    <xf numFmtId="0" fontId="18" fillId="11" borderId="12" xfId="0" applyFont="1" applyFill="1" applyBorder="1" applyAlignment="1">
      <alignment horizontal="right"/>
    </xf>
    <xf numFmtId="0" fontId="18" fillId="9" borderId="1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wrapText="1"/>
    </xf>
    <xf numFmtId="0" fontId="7" fillId="9" borderId="12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wrapText="1"/>
    </xf>
    <xf numFmtId="0" fontId="7" fillId="10" borderId="12" xfId="0" applyFont="1" applyFill="1" applyBorder="1" applyAlignment="1">
      <alignment vertical="center"/>
    </xf>
    <xf numFmtId="0" fontId="0" fillId="0" borderId="0" xfId="0" applyFill="1"/>
    <xf numFmtId="0" fontId="7" fillId="0" borderId="12" xfId="0" applyFont="1" applyFill="1" applyBorder="1" applyAlignment="1">
      <alignment vertical="top" wrapText="1"/>
    </xf>
    <xf numFmtId="0" fontId="7" fillId="9" borderId="12" xfId="0" applyFont="1" applyFill="1" applyBorder="1" applyAlignment="1">
      <alignment vertical="top" wrapText="1"/>
    </xf>
    <xf numFmtId="0" fontId="17" fillId="0" borderId="12" xfId="0" applyFont="1" applyBorder="1" applyAlignment="1">
      <alignment horizontal="right"/>
    </xf>
    <xf numFmtId="0" fontId="17" fillId="9" borderId="12" xfId="0" applyFont="1" applyFill="1" applyBorder="1" applyAlignment="1">
      <alignment wrapText="1"/>
    </xf>
    <xf numFmtId="0" fontId="17" fillId="9" borderId="12" xfId="0" applyFont="1" applyFill="1" applyBorder="1"/>
    <xf numFmtId="0" fontId="17" fillId="0" borderId="12" xfId="0" applyFont="1" applyBorder="1"/>
    <xf numFmtId="0" fontId="17" fillId="9" borderId="12" xfId="0" applyFont="1" applyFill="1" applyBorder="1" applyAlignment="1">
      <alignment vertical="center"/>
    </xf>
    <xf numFmtId="165" fontId="0" fillId="0" borderId="0" xfId="0" applyNumberFormat="1" applyAlignment="1">
      <alignment wrapText="1"/>
    </xf>
    <xf numFmtId="0" fontId="0" fillId="8" borderId="0" xfId="0" applyFill="1"/>
    <xf numFmtId="0" fontId="5" fillId="10" borderId="1" xfId="4" applyFont="1" applyFill="1" applyBorder="1" applyAlignment="1">
      <alignment horizontal="center" vertical="center" wrapText="1"/>
    </xf>
    <xf numFmtId="165" fontId="6" fillId="10" borderId="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top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3" fontId="0" fillId="8" borderId="0" xfId="0" applyNumberFormat="1" applyFill="1"/>
    <xf numFmtId="0" fontId="5" fillId="10" borderId="1" xfId="4" applyFont="1" applyFill="1" applyBorder="1" applyAlignment="1" applyProtection="1">
      <alignment horizontal="center" vertical="center" wrapText="1"/>
    </xf>
    <xf numFmtId="3" fontId="0" fillId="0" borderId="26" xfId="0" applyNumberFormat="1" applyBorder="1" applyAlignment="1">
      <alignment horizontal="right" vertical="top"/>
    </xf>
    <xf numFmtId="0" fontId="7" fillId="12" borderId="12" xfId="0" applyFont="1" applyFill="1" applyBorder="1" applyAlignment="1">
      <alignment wrapText="1"/>
    </xf>
    <xf numFmtId="0" fontId="7" fillId="13" borderId="12" xfId="0" applyFont="1" applyFill="1" applyBorder="1" applyAlignment="1">
      <alignment wrapText="1"/>
    </xf>
    <xf numFmtId="0" fontId="18" fillId="14" borderId="12" xfId="0" applyFont="1" applyFill="1" applyBorder="1" applyAlignment="1">
      <alignment wrapText="1"/>
    </xf>
    <xf numFmtId="0" fontId="7" fillId="15" borderId="12" xfId="0" applyFont="1" applyFill="1" applyBorder="1" applyAlignment="1">
      <alignment wrapText="1"/>
    </xf>
    <xf numFmtId="0" fontId="0" fillId="0" borderId="0" xfId="0" applyAlignment="1"/>
    <xf numFmtId="0" fontId="5" fillId="16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9" borderId="12" xfId="0" applyFont="1" applyFill="1" applyBorder="1"/>
    <xf numFmtId="0" fontId="7" fillId="9" borderId="13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9" borderId="3" xfId="0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vertical="center"/>
    </xf>
    <xf numFmtId="0" fontId="8" fillId="0" borderId="12" xfId="5" applyFont="1" applyBorder="1" applyAlignment="1">
      <alignment horizontal="center" vertical="center" wrapText="1"/>
    </xf>
    <xf numFmtId="0" fontId="7" fillId="9" borderId="12" xfId="7" applyFont="1" applyFill="1" applyBorder="1" applyAlignment="1" applyProtection="1">
      <alignment horizontal="center" vertical="center" wrapText="1"/>
    </xf>
    <xf numFmtId="0" fontId="7" fillId="3" borderId="12" xfId="7" applyFont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5" fillId="17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3" fontId="7" fillId="0" borderId="12" xfId="0" applyNumberFormat="1" applyFont="1" applyBorder="1"/>
    <xf numFmtId="0" fontId="7" fillId="7" borderId="23" xfId="0" applyFont="1" applyFill="1" applyBorder="1"/>
    <xf numFmtId="0" fontId="7" fillId="9" borderId="27" xfId="0" applyFont="1" applyFill="1" applyBorder="1"/>
    <xf numFmtId="0" fontId="8" fillId="19" borderId="1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5" fillId="20" borderId="1" xfId="3" applyFont="1" applyFill="1" applyBorder="1" applyAlignment="1">
      <alignment horizontal="left" vertical="center" wrapText="1"/>
    </xf>
    <xf numFmtId="0" fontId="5" fillId="20" borderId="1" xfId="3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10" fontId="8" fillId="12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top" wrapText="1"/>
    </xf>
    <xf numFmtId="0" fontId="7" fillId="10" borderId="12" xfId="0" applyFont="1" applyFill="1" applyBorder="1" applyAlignment="1">
      <alignment horizontal="center" vertical="center"/>
    </xf>
    <xf numFmtId="0" fontId="0" fillId="0" borderId="0" xfId="0"/>
    <xf numFmtId="0" fontId="7" fillId="9" borderId="14" xfId="0" applyFont="1" applyFill="1" applyBorder="1" applyAlignment="1">
      <alignment horizontal="center" vertical="top"/>
    </xf>
    <xf numFmtId="0" fontId="0" fillId="0" borderId="0" xfId="0"/>
    <xf numFmtId="0" fontId="7" fillId="9" borderId="14" xfId="0" applyFont="1" applyFill="1" applyBorder="1" applyAlignment="1">
      <alignment horizontal="center" vertical="top"/>
    </xf>
    <xf numFmtId="0" fontId="0" fillId="0" borderId="0" xfId="0"/>
    <xf numFmtId="0" fontId="7" fillId="7" borderId="12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center" vertical="top"/>
    </xf>
    <xf numFmtId="3" fontId="18" fillId="10" borderId="12" xfId="0" applyNumberFormat="1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left" vertical="center"/>
    </xf>
    <xf numFmtId="164" fontId="5" fillId="10" borderId="12" xfId="0" applyNumberFormat="1" applyFont="1" applyFill="1" applyBorder="1" applyAlignment="1">
      <alignment horizontal="center"/>
    </xf>
    <xf numFmtId="0" fontId="10" fillId="10" borderId="12" xfId="0" applyFont="1" applyFill="1" applyBorder="1"/>
    <xf numFmtId="0" fontId="5" fillId="10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center" wrapText="1"/>
    </xf>
    <xf numFmtId="0" fontId="5" fillId="10" borderId="12" xfId="6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>
      <alignment horizontal="left" vertical="center"/>
    </xf>
    <xf numFmtId="0" fontId="17" fillId="9" borderId="12" xfId="0" applyFont="1" applyFill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wrapText="1"/>
    </xf>
    <xf numFmtId="0" fontId="23" fillId="0" borderId="12" xfId="0" applyFont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5" borderId="5" xfId="2" applyFont="1" applyFill="1" applyBorder="1" applyAlignment="1" applyProtection="1">
      <alignment horizontal="center" vertical="center" wrapText="1"/>
      <protection locked="0"/>
    </xf>
    <xf numFmtId="0" fontId="12" fillId="5" borderId="4" xfId="2" applyFont="1" applyFill="1" applyBorder="1" applyAlignment="1" applyProtection="1">
      <alignment horizontal="center" vertical="center" wrapText="1"/>
      <protection locked="0"/>
    </xf>
    <xf numFmtId="0" fontId="12" fillId="5" borderId="6" xfId="2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textRotation="90" wrapText="1"/>
    </xf>
    <xf numFmtId="0" fontId="5" fillId="20" borderId="9" xfId="0" applyFont="1" applyFill="1" applyBorder="1" applyAlignment="1">
      <alignment horizontal="center" vertical="center" textRotation="90" wrapText="1"/>
    </xf>
    <xf numFmtId="0" fontId="5" fillId="20" borderId="3" xfId="0" applyFont="1" applyFill="1" applyBorder="1" applyAlignment="1">
      <alignment horizontal="center" vertical="center" textRotation="90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5" fillId="20" borderId="30" xfId="0" applyFont="1" applyFill="1" applyBorder="1" applyAlignment="1">
      <alignment horizontal="center" vertical="center" wrapText="1"/>
    </xf>
    <xf numFmtId="0" fontId="5" fillId="20" borderId="2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3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4" fillId="6" borderId="5" xfId="2" applyFont="1" applyFill="1" applyBorder="1" applyAlignment="1">
      <alignment horizontal="center" vertical="center" wrapText="1"/>
    </xf>
    <xf numFmtId="0" fontId="14" fillId="6" borderId="6" xfId="2" applyFont="1" applyFill="1" applyBorder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 wrapText="1"/>
    </xf>
    <xf numFmtId="0" fontId="14" fillId="10" borderId="6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14" fillId="10" borderId="1" xfId="2" applyFont="1" applyFill="1" applyBorder="1" applyAlignment="1">
      <alignment horizontal="center" vertical="center" wrapText="1"/>
    </xf>
    <xf numFmtId="0" fontId="14" fillId="10" borderId="5" xfId="6" applyFont="1" applyFill="1" applyBorder="1" applyAlignment="1">
      <alignment horizontal="center" vertical="center" wrapText="1"/>
    </xf>
    <xf numFmtId="0" fontId="14" fillId="10" borderId="6" xfId="6" applyFont="1" applyFill="1" applyBorder="1" applyAlignment="1">
      <alignment horizontal="center" vertical="center" wrapText="1"/>
    </xf>
    <xf numFmtId="0" fontId="6" fillId="10" borderId="5" xfId="6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top"/>
    </xf>
    <xf numFmtId="0" fontId="7" fillId="9" borderId="14" xfId="0" applyFont="1" applyFill="1" applyBorder="1" applyAlignment="1">
      <alignment horizontal="center" vertical="top"/>
    </xf>
    <xf numFmtId="0" fontId="7" fillId="9" borderId="27" xfId="0" applyFont="1" applyFill="1" applyBorder="1" applyAlignment="1">
      <alignment horizontal="center" vertical="top"/>
    </xf>
    <xf numFmtId="0" fontId="18" fillId="10" borderId="24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horizontal="center" vertical="top" wrapText="1"/>
    </xf>
    <xf numFmtId="0" fontId="5" fillId="10" borderId="18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0" fontId="5" fillId="10" borderId="32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left" vertical="center" wrapText="1"/>
    </xf>
    <xf numFmtId="0" fontId="10" fillId="10" borderId="15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28" xfId="0" applyFont="1" applyBorder="1" applyAlignment="1">
      <alignment horizontal="center" textRotation="135"/>
    </xf>
    <xf numFmtId="0" fontId="0" fillId="0" borderId="28" xfId="0" applyBorder="1" applyAlignment="1">
      <alignment horizontal="center" textRotation="135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2">
    <cellStyle name="20% - Акцент1" xfId="2" builtinId="30"/>
    <cellStyle name="20% - Акцент1 2" xfId="8"/>
    <cellStyle name="20% — акцент1 2" xfId="6"/>
    <cellStyle name="20% — акцент1 2 2" xfId="11"/>
    <cellStyle name="40% - Акцент1" xfId="3" builtinId="31"/>
    <cellStyle name="40% - Акцент1 2" xfId="4"/>
    <cellStyle name="40% — акцент1 2" xfId="7"/>
    <cellStyle name="40% - Акцент1 2 2" xfId="10"/>
    <cellStyle name="40% — акцент1 2 2" xfId="12"/>
    <cellStyle name="40% - Акцент1 2 3" xfId="14"/>
    <cellStyle name="40% — акцент1 2 3" xfId="16"/>
    <cellStyle name="40% - Акцент1 2 4" xfId="18"/>
    <cellStyle name="40% — акцент1 2 4" xfId="15"/>
    <cellStyle name="40% - Акцент1 2 5" xfId="20"/>
    <cellStyle name="40% — акцент1 2 5" xfId="21"/>
    <cellStyle name="40% - Акцент1 3" xfId="9"/>
    <cellStyle name="40% - Акцент1 4" xfId="13"/>
    <cellStyle name="40% - Акцент1 5" xfId="17"/>
    <cellStyle name="40% - Акцент1 6" xfId="19"/>
    <cellStyle name="Гиперссылка" xfId="1" builtinId="8"/>
    <cellStyle name="Обычный" xfId="0" builtinId="0"/>
    <cellStyle name="Обычный 2 2" xfId="5"/>
  </cellStyles>
  <dxfs count="4"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connections" Target="connection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('Таблица 1.1+ общее'!$D$2,'Таблица 1.1+ общее'!$F$2,'Таблица 1.1+ общее'!$H$2,'Таблица 1.1+ общее'!$J$2,'Таблица 1.1+ общее'!$L$2,'Таблица 1.1+ общее'!$N$2)</c:f>
              <c:strCache>
                <c:ptCount val="6"/>
                <c:pt idx="0">
                  <c:v>локальные</c:v>
                </c:pt>
                <c:pt idx="1">
                  <c:v>муниципальные</c:v>
                </c:pt>
                <c:pt idx="2">
                  <c:v>межмуниципальные</c:v>
                </c:pt>
                <c:pt idx="3">
                  <c:v>региональные</c:v>
                </c:pt>
                <c:pt idx="4">
                  <c:v>межрегиональные</c:v>
                </c:pt>
                <c:pt idx="5">
                  <c:v>федеральные</c:v>
                </c:pt>
              </c:strCache>
            </c:strRef>
          </c:cat>
          <c:val>
            <c:numRef>
              <c:f>('Таблица 1.1+'!#REF!,'Таблица 1.1+'!#REF!,'Таблица 1.1+'!#REF!,'Таблица 1.1+'!#REF!,'Таблица 1.1+'!#REF!,'Таблица 1.1+'!#REF!)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C1-4709-B2A0-6570E50D7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'Таблица 1.1+ общее'!$N$3</c:f>
              <c:strCache>
                <c:ptCount val="1"/>
                <c:pt idx="0">
                  <c:v>2022 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('Таблица 1.1+ общее'!$D$2,'Таблица 1.1+ общее'!$F$2,'Таблица 1.1+ общее'!$H$2,'Таблица 1.1+ общее'!$J$2,'Таблица 1.1+ общее'!$L$2,'Таблица 1.1+ общее'!$N$2)</c:f>
              <c:strCache>
                <c:ptCount val="6"/>
                <c:pt idx="0">
                  <c:v>локальные</c:v>
                </c:pt>
                <c:pt idx="1">
                  <c:v>муниципальные</c:v>
                </c:pt>
                <c:pt idx="2">
                  <c:v>межмуниципальные</c:v>
                </c:pt>
                <c:pt idx="3">
                  <c:v>региональные</c:v>
                </c:pt>
                <c:pt idx="4">
                  <c:v>межрегиональные</c:v>
                </c:pt>
                <c:pt idx="5">
                  <c:v>федеральные</c:v>
                </c:pt>
              </c:strCache>
            </c:strRef>
          </c:cat>
          <c:val>
            <c:numRef>
              <c:f>('Таблица 1.1+'!#REF!,'Таблица 1.1+'!#REF!,'Таблица 1.1+'!#REF!,'Таблица 1.1+'!#REF!,'Таблица 1.1+'!#REF!,'Таблица 1.1+'!#REF!)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CA-4802-9B38-FE60A77744DE}"/>
            </c:ext>
          </c:extLst>
        </c:ser>
        <c:ser>
          <c:idx val="1"/>
          <c:order val="1"/>
          <c:tx>
            <c:strRef>
              <c:f>'Таблица 1.1+ общее'!$O$3</c:f>
              <c:strCache>
                <c:ptCount val="1"/>
                <c:pt idx="0">
                  <c:v>2023 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('Таблица 1.1+ общее'!$D$2,'Таблица 1.1+ общее'!$F$2,'Таблица 1.1+ общее'!$H$2,'Таблица 1.1+ общее'!$J$2,'Таблица 1.1+ общее'!$L$2,'Таблица 1.1+ общее'!$N$2)</c:f>
              <c:strCache>
                <c:ptCount val="6"/>
                <c:pt idx="0">
                  <c:v>локальные</c:v>
                </c:pt>
                <c:pt idx="1">
                  <c:v>муниципальные</c:v>
                </c:pt>
                <c:pt idx="2">
                  <c:v>межмуниципальные</c:v>
                </c:pt>
                <c:pt idx="3">
                  <c:v>региональные</c:v>
                </c:pt>
                <c:pt idx="4">
                  <c:v>межрегиональные</c:v>
                </c:pt>
                <c:pt idx="5">
                  <c:v>федеральные</c:v>
                </c:pt>
              </c:strCache>
            </c:strRef>
          </c:cat>
          <c:val>
            <c:numRef>
              <c:f>('Таблица 1.1+'!#REF!,'Таблица 1.1+'!#REF!,'Таблица 1.1+'!#REF!,'Таблица 1.1+'!#REF!,'Таблица 1.1+'!#REF!,'Таблица 1.1+'!#REF!)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CA-4802-9B38-FE60A7774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18112"/>
        <c:axId val="107349120"/>
      </c:barChart>
      <c:catAx>
        <c:axId val="105418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07349120"/>
        <c:crosses val="autoZero"/>
        <c:auto val="1"/>
        <c:lblAlgn val="ctr"/>
        <c:lblOffset val="100"/>
        <c:noMultiLvlLbl val="0"/>
      </c:catAx>
      <c:valAx>
        <c:axId val="10734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Распределение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ЧС по масштабам АППГ</a:t>
                </a:r>
                <a:endParaRPr lang="ru-RU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0541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090576257585635E-2"/>
          <c:y val="0.2145566738702171"/>
          <c:w val="0.94590942374241438"/>
          <c:h val="0.725217799297488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'1.1 Стат. данные и сравнит. хар'!$AG$7</c:f>
              <c:strCache>
                <c:ptCount val="1"/>
                <c:pt idx="0">
                  <c:v>2023 г.</c:v>
                </c:pt>
              </c:strCache>
            </c:strRef>
          </c:tx>
          <c:invertIfNegative val="0"/>
          <c:cat>
            <c:strRef>
              <c:f>'1.1 Стат. данные и сравнит. хар'!$AF$8:$AF$10</c:f>
              <c:strCache>
                <c:ptCount val="3"/>
                <c:pt idx="0">
                  <c:v>Техногенные ЧС</c:v>
                </c:pt>
                <c:pt idx="1">
                  <c:v>Природные ЧС</c:v>
                </c:pt>
                <c:pt idx="2">
                  <c:v>Природные чрезвычайные ситуации, связанные с биологической опасностью</c:v>
                </c:pt>
              </c:strCache>
            </c:strRef>
          </c:cat>
          <c:val>
            <c:numRef>
              <c:f>'1.1 Стат. данные и сравнит. хар'!$AG$8:$AG$10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'1.1 Стат. данные и сравнит. хар'!$AH$7</c:f>
              <c:strCache>
                <c:ptCount val="1"/>
                <c:pt idx="0">
                  <c:v>2024 г.</c:v>
                </c:pt>
              </c:strCache>
            </c:strRef>
          </c:tx>
          <c:invertIfNegative val="0"/>
          <c:cat>
            <c:strRef>
              <c:f>'1.1 Стат. данные и сравнит. хар'!$AF$8:$AF$10</c:f>
              <c:strCache>
                <c:ptCount val="3"/>
                <c:pt idx="0">
                  <c:v>Техногенные ЧС</c:v>
                </c:pt>
                <c:pt idx="1">
                  <c:v>Природные ЧС</c:v>
                </c:pt>
                <c:pt idx="2">
                  <c:v>Природные чрезвычайные ситуации, связанные с биологической опасностью</c:v>
                </c:pt>
              </c:strCache>
            </c:strRef>
          </c:cat>
          <c:val>
            <c:numRef>
              <c:f>'1.1 Стат. данные и сравнит. хар'!$AH$8:$AH$10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387520"/>
        <c:axId val="107393408"/>
        <c:axId val="0"/>
      </c:bar3DChart>
      <c:catAx>
        <c:axId val="1073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93408"/>
        <c:crosses val="autoZero"/>
        <c:auto val="1"/>
        <c:lblAlgn val="ctr"/>
        <c:lblOffset val="100"/>
        <c:noMultiLvlLbl val="0"/>
      </c:catAx>
      <c:valAx>
        <c:axId val="10739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87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0858973024847689E-2"/>
          <c:y val="5.7039588801399789E-2"/>
          <c:w val="0.18563036448637754"/>
          <c:h val="5.02303149606299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('1.2 оперативные показатели'!$B$3,'1.2 оперативные показатели'!$B$15,'1.2 оперативные показатели'!$B$26,'1.2 оперативные показатели'!$B$33,'1.2 оперативные показатели'!$B$48,'1.2 оперативные показатели'!$B$57,'1.2 оперативные показатели'!$B$65,'1.2 оперативные показатели'!$B$77)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('1.2 оперативные показатели'!$E$3,'1.2 оперативные показатели'!$E$15,'1.2 оперативные показатели'!$E$26,'1.2 оперативные показатели'!$E$33,'1.2 оперативные показатели'!$E$48,'1.2 оперативные показатели'!$E$57,'1.2 оперативные показатели'!$E$65,'1.2 оперативные показатели'!$E$77)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B-44D6-AE66-E61697FF4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249472"/>
        <c:axId val="108252160"/>
      </c:barChart>
      <c:catAx>
        <c:axId val="10824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08252160"/>
        <c:crosses val="autoZero"/>
        <c:auto val="1"/>
        <c:lblAlgn val="ctr"/>
        <c:lblOffset val="100"/>
        <c:noMultiLvlLbl val="0"/>
      </c:catAx>
      <c:valAx>
        <c:axId val="10825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ЧС, ед.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0824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 оперативные показатели'!$C$1:$D$2</c:f>
              <c:strCache>
                <c:ptCount val="2"/>
                <c:pt idx="0">
                  <c:v>Техногенные ЧС, ед.</c:v>
                </c:pt>
                <c:pt idx="1">
                  <c:v>Природные ЧС, ед.</c:v>
                </c:pt>
              </c:strCache>
            </c:strRef>
          </c:cat>
          <c:val>
            <c:numRef>
              <c:f>('1.2 оперативные показатели'!$C$101,'1.2 оперативные показатели'!$D$101)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C1-4709-B2A0-6570E50D7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'1.9 ЦУКС'!$D$5:$D$12</c:f>
              <c:strCache>
                <c:ptCount val="8"/>
                <c:pt idx="0">
                  <c:v>прогнозов подготовлено</c:v>
                </c:pt>
                <c:pt idx="1">
                  <c:v>моделей подготовлено</c:v>
                </c:pt>
                <c:pt idx="2">
                  <c:v>            по паводсковой обстановке (в т.ч.)</c:v>
                </c:pt>
                <c:pt idx="3">
                  <c:v>            по лесопожарной обстановке (в т.ч.)</c:v>
                </c:pt>
                <c:pt idx="4">
                  <c:v>подготовлено высокодетальных космических снимков</c:v>
                </c:pt>
                <c:pt idx="5">
                  <c:v>выявлено термических точек</c:v>
                </c:pt>
                <c:pt idx="6">
                  <c:v>построен ортофотоплан местности</c:v>
                </c:pt>
                <c:pt idx="7">
                  <c:v>количество раз реагирования оперативных групп</c:v>
                </c:pt>
              </c:strCache>
            </c:strRef>
          </c:cat>
          <c:val>
            <c:numRef>
              <c:f>'1.9 ЦУКС'!$E$5:$E$12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C-4F59-9E7D-166594D403FD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'1.9 ЦУКС'!$D$5:$D$12</c:f>
              <c:strCache>
                <c:ptCount val="8"/>
                <c:pt idx="0">
                  <c:v>прогнозов подготовлено</c:v>
                </c:pt>
                <c:pt idx="1">
                  <c:v>моделей подготовлено</c:v>
                </c:pt>
                <c:pt idx="2">
                  <c:v>            по паводсковой обстановке (в т.ч.)</c:v>
                </c:pt>
                <c:pt idx="3">
                  <c:v>            по лесопожарной обстановке (в т.ч.)</c:v>
                </c:pt>
                <c:pt idx="4">
                  <c:v>подготовлено высокодетальных космических снимков</c:v>
                </c:pt>
                <c:pt idx="5">
                  <c:v>выявлено термических точек</c:v>
                </c:pt>
                <c:pt idx="6">
                  <c:v>построен ортофотоплан местности</c:v>
                </c:pt>
                <c:pt idx="7">
                  <c:v>количество раз реагирования оперативных групп</c:v>
                </c:pt>
              </c:strCache>
            </c:strRef>
          </c:cat>
          <c:val>
            <c:numRef>
              <c:f>'1.9 ЦУКС'!$F$5:$F$12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7C-4F59-9E7D-166594D403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37792"/>
        <c:axId val="109939328"/>
      </c:barChart>
      <c:catAx>
        <c:axId val="1099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9939328"/>
        <c:crosses val="autoZero"/>
        <c:auto val="1"/>
        <c:lblAlgn val="ctr"/>
        <c:lblOffset val="100"/>
        <c:noMultiLvlLbl val="0"/>
      </c:catAx>
      <c:valAx>
        <c:axId val="1099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993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0581802274716"/>
          <c:y val="5.0961315728515172E-2"/>
          <c:w val="0.47590529308836393"/>
          <c:h val="0.735587742289684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val>
            <c:numRef>
              <c:f>'1.14 (2) Обращения'!#REF!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47-4595-8384-F97EE857B46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'1.14 (2) Обращения'!#REF!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'1.14 (2) Обращения'!#REF!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'1.14 (2) Обращения'!#REF!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47-4595-8384-F97EE857B46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'1.14 (2) Обращения'!#REF!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'1.14 (2) Обращения'!#REF!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256512"/>
        <c:axId val="110258048"/>
      </c:barChart>
      <c:catAx>
        <c:axId val="110256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258048"/>
        <c:crosses val="autoZero"/>
        <c:auto val="1"/>
        <c:lblAlgn val="ctr"/>
        <c:lblOffset val="100"/>
        <c:noMultiLvlLbl val="0"/>
      </c:catAx>
      <c:valAx>
        <c:axId val="11025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2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374759405074359"/>
          <c:y val="0.48169970761993874"/>
          <c:w val="0.16139370078740156"/>
          <c:h val="0.18473531670250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7900262467192"/>
          <c:y val="5.3029378520896855E-2"/>
          <c:w val="0.62070888013998238"/>
          <c:h val="0.31948477261367059"/>
        </c:manualLayout>
      </c:layout>
      <c:pieChart>
        <c:varyColors val="1"/>
        <c:ser>
          <c:idx val="0"/>
          <c:order val="0"/>
          <c:tx>
            <c:strRef>
              <c:f>'1.10 Обращения'!$C$5</c:f>
              <c:strCache>
                <c:ptCount val="1"/>
                <c:pt idx="0">
                  <c:v>Доля, %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F-4118-BE36-3ED148ABDB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F-4118-BE36-3ED148ABDB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F-4118-BE36-3ED148ABDB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F-4118-BE36-3ED148ABDB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7F-4118-BE36-3ED148ABDB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C7F-4118-BE36-3ED148ABDB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C7F-4118-BE36-3ED148ABDB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C7F-4118-BE36-3ED148ABDB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C7F-4118-BE36-3ED148ABDB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C7F-4118-BE36-3ED148ABDB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C7F-4118-BE36-3ED148ABDB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C7F-4118-BE36-3ED148ABDB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C7F-4118-BE36-3ED148ABDB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C7F-4118-BE36-3ED148ABDB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C7F-4118-BE36-3ED148ABDB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C7F-4118-BE36-3ED148ABDBE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C7F-4118-BE36-3ED148ABDB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'1.10 Обращения'!$A$6:$A$22</c:f>
              <c:strCache>
                <c:ptCount val="17"/>
                <c:pt idx="0">
                  <c:v>работа противопожарной службы и соблюдение требований пожарной безопасности</c:v>
                </c:pt>
                <c:pt idx="1">
                  <c:v>деятельность ГИМС</c:v>
                </c:pt>
                <c:pt idx="2">
                  <c:v>запросы архивных данных</c:v>
                </c:pt>
                <c:pt idx="3">
                  <c:v>вопросы, связанные с рассмотрением обращений граждан (прекращение рассмотрения обращения, результаты рассмотрения обращения, благодарности, ознакомление с документами и материалами касающимися рассмотрения обращения)</c:v>
                </c:pt>
                <c:pt idx="4">
                  <c:v>предупреждение и преодоление ЧС</c:v>
                </c:pt>
                <c:pt idx="5">
                  <c:v>деятельность и принимаемые решения МЧС России (отдельные вопросы касающиеся деятельности МЧС России)</c:v>
                </c:pt>
                <c:pt idx="6">
                  <c:v>коммунальное хозяйство (содержание общего имущества, ограждающие конструкции, места общего пользования, придомовая территория)</c:v>
                </c:pt>
                <c:pt idx="7">
                  <c:v>трудовые отношения (трудоустройство, выплата зарплаты, заключение/прекращение трудового контракта/договора)</c:v>
                </c:pt>
                <c:pt idx="8">
                  <c:v>признание участником ликвидации, выдача удостоверений, социальная защита пострадавших от радиоактивного заражения (ЧАЭС, Семипалатинский полигон, ПО "Маяк", подразделение особого риска и т.п.)</c:v>
                </c:pt>
                <c:pt idx="9">
                  <c:v>гражданская оборона (содержание и обслуживание ЗСГО)</c:v>
                </c:pt>
                <c:pt idx="10">
                  <c:v>о возможных фактах коррупции, противоправного поведения сотрудников и обжалование действий (бездействий) должностных лиц МЧС России</c:v>
                </c:pt>
                <c:pt idx="11">
                  <c:v>жилищные вопросы (предоставление субсидий, ЕСВ, ГЖС, служебного жилья, выселение)</c:v>
                </c:pt>
                <c:pt idx="12">
                  <c:v>законодательство РФ (вопросы по нормативному регулированию, законодательной и инициативе своего ведения, исполнения судебных решений)</c:v>
                </c:pt>
                <c:pt idx="13">
                  <c:v>прохождение службы (прохождение военной, государственной службы, продление контракта, увольнение со службы, награждение государственными наградами)</c:v>
                </c:pt>
                <c:pt idx="14">
                  <c:v>лечение, оказание медицинской помощи, санитарная эвакуация пострадавших. Безопасность туризма</c:v>
                </c:pt>
                <c:pt idx="15">
                  <c:v>образование</c:v>
                </c:pt>
                <c:pt idx="16">
                  <c:v>предложения по внедрению новых инноваций в области тушения пожаров, проведению поисково-спасательных работ</c:v>
                </c:pt>
              </c:strCache>
            </c:strRef>
          </c:cat>
          <c:val>
            <c:numRef>
              <c:f>'1.10 Обращения'!$C$6:$C$22</c:f>
              <c:numCache>
                <c:formatCode>0.0%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4D-4509-B757-6F10C930E0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178258967629046E-2"/>
          <c:y val="0.39132851796980189"/>
          <c:w val="0.88319881889763785"/>
          <c:h val="0.55149688987996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Количество</a:t>
            </a:r>
            <a:r>
              <a:rPr lang="ru-RU" baseline="0"/>
              <a:t> привлечений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17891513560805"/>
          <c:y val="0.14744583581792883"/>
          <c:w val="0.81626552930883645"/>
          <c:h val="0.41159738753586028"/>
        </c:manualLayout>
      </c:layout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83B-4555-B9E0-8F91E4F65A4C}"/>
              </c:ext>
            </c:extLst>
          </c:dPt>
          <c:dLbls>
            <c:dLbl>
              <c:idx val="0"/>
              <c:layout>
                <c:manualLayout>
                  <c:x val="-1.9444444444444459E-2"/>
                  <c:y val="1.479273889646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94E-2"/>
                  <c:y val="1.1208375489376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111111111111112E-2"/>
                  <c:y val="1.923451956773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5.0730215985571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2309E-3"/>
                  <c:y val="1.0380284168389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666666666666767E-2"/>
                  <c:y val="1.343950968561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3B-4555-B9E0-8F91E4F65A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('1.11 ПАСФ'!$B$5:$B$9,'1.11 ПАСФ'!$B$11)</c:f>
              <c:strCache>
                <c:ptCount val="6"/>
                <c:pt idx="0">
                  <c:v>на бытовые происшествия</c:v>
                </c:pt>
                <c:pt idx="1">
                  <c:v>на техногенные, в т.ч. ДТП</c:v>
                </c:pt>
                <c:pt idx="2">
                  <c:v>на ПСР на водных объектах</c:v>
                </c:pt>
                <c:pt idx="3">
                  <c:v>на ПСР в лесах и горах</c:v>
                </c:pt>
                <c:pt idx="4">
                  <c:v>на ложные вызовы</c:v>
                </c:pt>
                <c:pt idx="5">
                  <c:v>Спасенных</c:v>
                </c:pt>
              </c:strCache>
            </c:strRef>
          </c:cat>
          <c:val>
            <c:numRef>
              <c:f>('1.11 ПАСФ'!$C$5:$C$9,'1.11 ПАСФ'!$C$11)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83B-4555-B9E0-8F91E4F65A4C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83B-4555-B9E0-8F91E4F65A4C}"/>
              </c:ext>
            </c:extLst>
          </c:dPt>
          <c:dLbls>
            <c:dLbl>
              <c:idx val="0"/>
              <c:layout>
                <c:manualLayout>
                  <c:x val="8.3333333333333072E-3"/>
                  <c:y val="1.28726227657296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333333333332829E-3"/>
                  <c:y val="1.28726227657297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5555555555555558E-3"/>
                  <c:y val="1.7528116248038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11111111111009E-2"/>
                  <c:y val="1.99152480241645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4356E-3"/>
                  <c:y val="1.4613117494391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083B-4555-B9E0-8F91E4F65A4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888888888888788E-2"/>
                  <c:y val="1.4967359849249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83B-4555-B9E0-8F91E4F65A4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('1.11 ПАСФ'!$B$5:$B$9,'1.11 ПАСФ'!$B$11)</c:f>
              <c:strCache>
                <c:ptCount val="6"/>
                <c:pt idx="0">
                  <c:v>на бытовые происшествия</c:v>
                </c:pt>
                <c:pt idx="1">
                  <c:v>на техногенные, в т.ч. ДТП</c:v>
                </c:pt>
                <c:pt idx="2">
                  <c:v>на ПСР на водных объектах</c:v>
                </c:pt>
                <c:pt idx="3">
                  <c:v>на ПСР в лесах и горах</c:v>
                </c:pt>
                <c:pt idx="4">
                  <c:v>на ложные вызовы</c:v>
                </c:pt>
                <c:pt idx="5">
                  <c:v>Спасенных</c:v>
                </c:pt>
              </c:strCache>
            </c:strRef>
          </c:cat>
          <c:val>
            <c:numRef>
              <c:f>('1.11 ПАСФ'!$D$5:$D$9,'1.11 ПАСФ'!$D$11)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83B-4555-B9E0-8F91E4F65A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156800"/>
        <c:axId val="110170880"/>
      </c:barChart>
      <c:catAx>
        <c:axId val="1101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170880"/>
        <c:crosses val="autoZero"/>
        <c:auto val="1"/>
        <c:lblAlgn val="ctr"/>
        <c:lblOffset val="100"/>
        <c:tickLblSkip val="1"/>
        <c:noMultiLvlLbl val="0"/>
      </c:catAx>
      <c:valAx>
        <c:axId val="1101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1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('1.12 СВФ'!$B$5:$B$9,'1.12 СВФ'!$B$11)</c:f>
              <c:strCache>
                <c:ptCount val="6"/>
                <c:pt idx="0">
                  <c:v>   на прочие происшествия</c:v>
                </c:pt>
                <c:pt idx="1">
                  <c:v>   на бытовые происшествия</c:v>
                </c:pt>
                <c:pt idx="2">
                  <c:v>   на техногенные пожары</c:v>
                </c:pt>
                <c:pt idx="3">
                  <c:v>   на ДТП</c:v>
                </c:pt>
                <c:pt idx="4">
                  <c:v>   на ПСР</c:v>
                </c:pt>
                <c:pt idx="5">
                  <c:v>Оказана помощь</c:v>
                </c:pt>
              </c:strCache>
            </c:strRef>
          </c:cat>
          <c:val>
            <c:numRef>
              <c:f>('1.12 СВФ'!$C$5:$C$9,'1.12 СВФ'!$C$11)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66-4649-BE63-AF039E8FB24E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('1.12 СВФ'!$B$5:$B$9,'1.12 СВФ'!$B$11)</c:f>
              <c:strCache>
                <c:ptCount val="6"/>
                <c:pt idx="0">
                  <c:v>   на прочие происшествия</c:v>
                </c:pt>
                <c:pt idx="1">
                  <c:v>   на бытовые происшествия</c:v>
                </c:pt>
                <c:pt idx="2">
                  <c:v>   на техногенные пожары</c:v>
                </c:pt>
                <c:pt idx="3">
                  <c:v>   на ДТП</c:v>
                </c:pt>
                <c:pt idx="4">
                  <c:v>   на ПСР</c:v>
                </c:pt>
                <c:pt idx="5">
                  <c:v>Оказана помощь</c:v>
                </c:pt>
              </c:strCache>
            </c:strRef>
          </c:cat>
          <c:val>
            <c:numRef>
              <c:f>('1.12 СВФ'!$D$5:$D$9,'1.12 СВФ'!$D$11)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66-4649-BE63-AF039E8FB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109184"/>
        <c:axId val="102110336"/>
      </c:barChart>
      <c:catAx>
        <c:axId val="10210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2110336"/>
        <c:crosses val="autoZero"/>
        <c:auto val="1"/>
        <c:lblAlgn val="ctr"/>
        <c:lblOffset val="100"/>
        <c:noMultiLvlLbl val="0"/>
      </c:catAx>
      <c:valAx>
        <c:axId val="10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210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'1.12 СВФ'!$B$19:$B$22</c:f>
              <c:strCache>
                <c:ptCount val="4"/>
                <c:pt idx="0">
                  <c:v>СЦ МЧС России и Рузский ЦОПУ</c:v>
                </c:pt>
                <c:pt idx="1">
                  <c:v>военнослужащих</c:v>
                </c:pt>
                <c:pt idx="2">
                  <c:v>гражданского персонала</c:v>
                </c:pt>
                <c:pt idx="3">
                  <c:v>единиц техники </c:v>
                </c:pt>
              </c:strCache>
            </c:strRef>
          </c:cat>
          <c:val>
            <c:numRef>
              <c:f>'1.12 СВФ'!$C$19:$C$22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B3-4552-B14D-E934E4E50761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'1.12 СВФ'!$B$19:$B$22</c:f>
              <c:strCache>
                <c:ptCount val="4"/>
                <c:pt idx="0">
                  <c:v>СЦ МЧС России и Рузский ЦОПУ</c:v>
                </c:pt>
                <c:pt idx="1">
                  <c:v>военнослужащих</c:v>
                </c:pt>
                <c:pt idx="2">
                  <c:v>гражданского персонала</c:v>
                </c:pt>
                <c:pt idx="3">
                  <c:v>единиц техники </c:v>
                </c:pt>
              </c:strCache>
            </c:strRef>
          </c:cat>
          <c:val>
            <c:numRef>
              <c:f>'1.12 СВФ'!$D$19:$D$22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B3-4552-B14D-E934E4E507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161408"/>
        <c:axId val="102167296"/>
      </c:barChart>
      <c:catAx>
        <c:axId val="1021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2167296"/>
        <c:crosses val="autoZero"/>
        <c:auto val="1"/>
        <c:lblAlgn val="ctr"/>
        <c:lblOffset val="100"/>
        <c:noMultiLvlLbl val="0"/>
      </c:catAx>
      <c:valAx>
        <c:axId val="10216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216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'1.12 СВФ'!$B$11</c:f>
              <c:strCache>
                <c:ptCount val="1"/>
                <c:pt idx="0">
                  <c:v>Оказана помощь</c:v>
                </c:pt>
              </c:strCache>
            </c:strRef>
          </c:cat>
          <c:val>
            <c:numRef>
              <c:f>'1.12 СВФ'!$C$11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F6-43EE-9E49-5C75B1048B15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'1.12 СВФ'!$B$11</c:f>
              <c:strCache>
                <c:ptCount val="1"/>
                <c:pt idx="0">
                  <c:v>Оказана помощь</c:v>
                </c:pt>
              </c:strCache>
            </c:strRef>
          </c:cat>
          <c:val>
            <c:numRef>
              <c:f>'1.12 СВФ'!$D$11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AF6-43EE-9E49-5C75B1048B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412288"/>
        <c:axId val="108430848"/>
      </c:barChart>
      <c:catAx>
        <c:axId val="1084122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оказано помощи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108430848"/>
        <c:crosses val="autoZero"/>
        <c:auto val="1"/>
        <c:lblAlgn val="ctr"/>
        <c:lblOffset val="100"/>
        <c:noMultiLvlLbl val="0"/>
      </c:catAx>
      <c:valAx>
        <c:axId val="10843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841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'1.13 РПП'!$B$6:$B$9</c:f>
              <c:strCache>
                <c:ptCount val="4"/>
                <c:pt idx="0">
                  <c:v>   авиационных бомб</c:v>
                </c:pt>
                <c:pt idx="1">
                  <c:v>   артиллерийских снарядов</c:v>
                </c:pt>
                <c:pt idx="2">
                  <c:v>   инженерный боеприпас</c:v>
                </c:pt>
                <c:pt idx="3">
                  <c:v>   других ВОП</c:v>
                </c:pt>
              </c:strCache>
            </c:strRef>
          </c:cat>
          <c:val>
            <c:numRef>
              <c:f>'1.13 РПП'!$C$6:$C$9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ED-446A-BECD-C6D0A17BABE9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'1.13 РПП'!$B$6:$B$9</c:f>
              <c:strCache>
                <c:ptCount val="4"/>
                <c:pt idx="0">
                  <c:v>   авиационных бомб</c:v>
                </c:pt>
                <c:pt idx="1">
                  <c:v>   артиллерийских снарядов</c:v>
                </c:pt>
                <c:pt idx="2">
                  <c:v>   инженерный боеприпас</c:v>
                </c:pt>
                <c:pt idx="3">
                  <c:v>   других ВОП</c:v>
                </c:pt>
              </c:strCache>
            </c:strRef>
          </c:cat>
          <c:val>
            <c:numRef>
              <c:f>'1.13 РПП'!$D$6:$D$9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ED-446A-BECD-C6D0A17BAB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515712"/>
        <c:axId val="108517248"/>
      </c:barChart>
      <c:catAx>
        <c:axId val="10851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8517248"/>
        <c:crosses val="autoZero"/>
        <c:auto val="1"/>
        <c:lblAlgn val="ctr"/>
        <c:lblOffset val="100"/>
        <c:noMultiLvlLbl val="0"/>
      </c:catAx>
      <c:valAx>
        <c:axId val="1085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85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'1.14 ВГCЧ'!$C$6:$C$11</c:f>
              <c:strCache>
                <c:ptCount val="6"/>
                <c:pt idx="0">
                  <c:v>ликвидированных аварий</c:v>
                </c:pt>
                <c:pt idx="1">
                  <c:v>спасенных</c:v>
                </c:pt>
                <c:pt idx="2">
                  <c:v>оказаний медицинской помощи</c:v>
                </c:pt>
                <c:pt idx="3">
                  <c:v> в т.ч. в подземных условиях </c:v>
                </c:pt>
                <c:pt idx="4">
                  <c:v>профилактических обследований обслуживаемых предприятий</c:v>
                </c:pt>
                <c:pt idx="5">
                  <c:v>технические работы проведены</c:v>
                </c:pt>
              </c:strCache>
            </c:strRef>
          </c:cat>
          <c:val>
            <c:numRef>
              <c:f>'1.14 ВГCЧ'!$D$6:$D$11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2-4BB2-9977-FBEE5F8A436F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'1.14 ВГCЧ'!$C$6:$C$11</c:f>
              <c:strCache>
                <c:ptCount val="6"/>
                <c:pt idx="0">
                  <c:v>ликвидированных аварий</c:v>
                </c:pt>
                <c:pt idx="1">
                  <c:v>спасенных</c:v>
                </c:pt>
                <c:pt idx="2">
                  <c:v>оказаний медицинской помощи</c:v>
                </c:pt>
                <c:pt idx="3">
                  <c:v> в т.ч. в подземных условиях </c:v>
                </c:pt>
                <c:pt idx="4">
                  <c:v>профилактических обследований обслуживаемых предприятий</c:v>
                </c:pt>
                <c:pt idx="5">
                  <c:v>технические работы проведены</c:v>
                </c:pt>
              </c:strCache>
            </c:strRef>
          </c:cat>
          <c:val>
            <c:numRef>
              <c:f>'1.14 ВГCЧ'!$E$6:$E$11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72-4BB2-9977-FBEE5F8A4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096768"/>
        <c:axId val="110098304"/>
      </c:barChart>
      <c:catAx>
        <c:axId val="1100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098304"/>
        <c:crosses val="autoZero"/>
        <c:auto val="1"/>
        <c:lblAlgn val="ctr"/>
        <c:lblOffset val="100"/>
        <c:noMultiLvlLbl val="0"/>
      </c:catAx>
      <c:valAx>
        <c:axId val="1100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0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'1.15 ПфВЧ'!$B$5:$B$13</c:f>
              <c:strCache>
                <c:ptCount val="9"/>
                <c:pt idx="0">
                  <c:v>Работы по ликвидации газоводонефтепроявления и открытых фонтанов</c:v>
                </c:pt>
                <c:pt idx="1">
                  <c:v>технических работ на устьях скважин </c:v>
                </c:pt>
                <c:pt idx="2">
                  <c:v>учебно-тренировочных занятий</c:v>
                </c:pt>
                <c:pt idx="3">
                  <c:v>согласований планов ликвидации аварий</c:v>
                </c:pt>
                <c:pt idx="4">
                  <c:v>профилактических обследования обслуживаемых предприятий</c:v>
                </c:pt>
                <c:pt idx="5">
                  <c:v>             выявлено нарушений</c:v>
                </c:pt>
                <c:pt idx="6">
                  <c:v>             выдано предписаний</c:v>
                </c:pt>
                <c:pt idx="7">
                  <c:v>             выдано запрещений</c:v>
                </c:pt>
                <c:pt idx="8">
                  <c:v>             выдано разрешений</c:v>
                </c:pt>
              </c:strCache>
            </c:strRef>
          </c:cat>
          <c:val>
            <c:numRef>
              <c:f>'1.15 ПфВЧ'!$C$5:$C$13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4-4F6D-B64B-C1677B27DA27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'1.15 ПфВЧ'!$B$5:$B$13</c:f>
              <c:strCache>
                <c:ptCount val="9"/>
                <c:pt idx="0">
                  <c:v>Работы по ликвидации газоводонефтепроявления и открытых фонтанов</c:v>
                </c:pt>
                <c:pt idx="1">
                  <c:v>технических работ на устьях скважин </c:v>
                </c:pt>
                <c:pt idx="2">
                  <c:v>учебно-тренировочных занятий</c:v>
                </c:pt>
                <c:pt idx="3">
                  <c:v>согласований планов ликвидации аварий</c:v>
                </c:pt>
                <c:pt idx="4">
                  <c:v>профилактических обследования обслуживаемых предприятий</c:v>
                </c:pt>
                <c:pt idx="5">
                  <c:v>             выявлено нарушений</c:v>
                </c:pt>
                <c:pt idx="6">
                  <c:v>             выдано предписаний</c:v>
                </c:pt>
                <c:pt idx="7">
                  <c:v>             выдано запрещений</c:v>
                </c:pt>
                <c:pt idx="8">
                  <c:v>             выдано разрешений</c:v>
                </c:pt>
              </c:strCache>
            </c:strRef>
          </c:cat>
          <c:val>
            <c:numRef>
              <c:f>'1.15 ПфВЧ'!$D$5:$D$13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74-4F6D-B64B-C1677B27D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16320"/>
        <c:axId val="104617856"/>
      </c:barChart>
      <c:catAx>
        <c:axId val="1046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4617856"/>
        <c:crosses val="autoZero"/>
        <c:auto val="1"/>
        <c:lblAlgn val="ctr"/>
        <c:lblOffset val="100"/>
        <c:noMultiLvlLbl val="0"/>
      </c:catAx>
      <c:valAx>
        <c:axId val="1046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461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'1.15 ПфВЧ'!$C$23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'1.15 ПфВЧ'!$B$24:$B$26</c:f>
              <c:strCache>
                <c:ptCount val="3"/>
                <c:pt idx="0">
                  <c:v>Противофонтанные военизированные части </c:v>
                </c:pt>
                <c:pt idx="1">
                  <c:v>фактическая численность группировки сил</c:v>
                </c:pt>
                <c:pt idx="2">
                  <c:v>единиц техники</c:v>
                </c:pt>
              </c:strCache>
            </c:strRef>
          </c:cat>
          <c:val>
            <c:numRef>
              <c:f>'1.15 ПфВЧ'!$C$24:$C$26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40-48CA-B648-D781A530030D}"/>
            </c:ext>
          </c:extLst>
        </c:ser>
        <c:ser>
          <c:idx val="1"/>
          <c:order val="1"/>
          <c:tx>
            <c:strRef>
              <c:f>'1.15 ПфВЧ'!$D$23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'1.15 ПфВЧ'!$B$24:$B$26</c:f>
              <c:strCache>
                <c:ptCount val="3"/>
                <c:pt idx="0">
                  <c:v>Противофонтанные военизированные части </c:v>
                </c:pt>
                <c:pt idx="1">
                  <c:v>фактическая численность группировки сил</c:v>
                </c:pt>
                <c:pt idx="2">
                  <c:v>единиц техники</c:v>
                </c:pt>
              </c:strCache>
            </c:strRef>
          </c:cat>
          <c:val>
            <c:numRef>
              <c:f>'1.15 ПфВЧ'!$D$24:$D$26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40-48CA-B648-D781A5300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645632"/>
        <c:axId val="110647168"/>
      </c:barChart>
      <c:catAx>
        <c:axId val="1106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647168"/>
        <c:crosses val="autoZero"/>
        <c:auto val="1"/>
        <c:lblAlgn val="ctr"/>
        <c:lblOffset val="100"/>
        <c:noMultiLvlLbl val="0"/>
      </c:catAx>
      <c:valAx>
        <c:axId val="1106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06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2021 г.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('[2]Таблица 1.3'!$A$4:$M$4,'[2]Таблица 1.3'!$A$42:$M$42,'[2]Таблица 1.3'!$A$90:$M$90)</c:f>
              <c:strCache>
                <c:ptCount val="39"/>
                <c:pt idx="0">
                  <c:v>Техногенные ЧС</c:v>
                </c:pt>
                <c:pt idx="13">
                  <c:v>Природные ЧС</c:v>
                </c:pt>
                <c:pt idx="26">
                  <c:v>Природные чрезвычайные ситуации, связанные с биологической опасностью</c:v>
                </c:pt>
              </c:strCache>
            </c:strRef>
          </c:cat>
          <c:val>
            <c:numRef>
              <c:f>('[2]Таблица 1.3'!$B$40,'[2]Таблица 1.3'!$B$89,'[2]Таблица 1.3'!$B$94)</c:f>
              <c:numCache>
                <c:formatCode>General</c:formatCode>
                <c:ptCount val="3"/>
                <c:pt idx="0">
                  <c:v>190</c:v>
                </c:pt>
                <c:pt idx="1">
                  <c:v>108</c:v>
                </c:pt>
                <c:pt idx="2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879-818E-61EED15F5B71}"/>
            </c:ext>
          </c:extLst>
        </c:ser>
        <c:ser>
          <c:idx val="1"/>
          <c:order val="1"/>
          <c:tx>
            <c:v>2022 г.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('[2]Таблица 1.3'!$A$4:$M$4,'[2]Таблица 1.3'!$A$42:$M$42,'[2]Таблица 1.3'!$A$90:$M$90)</c:f>
              <c:strCache>
                <c:ptCount val="39"/>
                <c:pt idx="0">
                  <c:v>Техногенные ЧС</c:v>
                </c:pt>
                <c:pt idx="13">
                  <c:v>Природные ЧС</c:v>
                </c:pt>
                <c:pt idx="26">
                  <c:v>Природные чрезвычайные ситуации, связанные с биологической опасностью</c:v>
                </c:pt>
              </c:strCache>
            </c:strRef>
          </c:cat>
          <c:val>
            <c:numRef>
              <c:f>('[2]Таблица 1.3'!$C$40,'[2]Таблица 1.3'!$C$89,'[2]Таблица 1.3'!$C$94)</c:f>
              <c:numCache>
                <c:formatCode>General</c:formatCode>
                <c:ptCount val="3"/>
                <c:pt idx="0">
                  <c:v>164</c:v>
                </c:pt>
                <c:pt idx="1">
                  <c:v>57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39-4879-818E-61EED15F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74912"/>
        <c:axId val="110376448"/>
        <c:axId val="0"/>
      </c:bar3DChart>
      <c:catAx>
        <c:axId val="110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76448"/>
        <c:crosses val="autoZero"/>
        <c:auto val="1"/>
        <c:lblAlgn val="ctr"/>
        <c:lblOffset val="100"/>
        <c:noMultiLvlLbl val="0"/>
      </c:catAx>
      <c:valAx>
        <c:axId val="11037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7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 оперативные показатели'!$C$1:$D$2</c:f>
              <c:strCache>
                <c:ptCount val="2"/>
                <c:pt idx="0">
                  <c:v>Техногенные ЧС, ед.</c:v>
                </c:pt>
                <c:pt idx="1">
                  <c:v>Природные ЧС, ед.</c:v>
                </c:pt>
              </c:strCache>
            </c:strRef>
          </c:cat>
          <c:val>
            <c:numRef>
              <c:f>('1.2 оперативные показатели'!$C$101,'1.2 оперативные показатели'!$D$101)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C1-4709-B2A0-6570E50D7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80500565701538618"/>
          <c:y val="0.37917693910631739"/>
          <c:w val="0.17638180044248394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'1.2 оперативные показатели'!$C$1:$D$2</c:f>
              <c:multiLvlStrCache>
                <c:ptCount val="1"/>
                <c:lvl>
                  <c:pt idx="0">
                    <c:v>Природные ЧС, ед.</c:v>
                  </c:pt>
                </c:lvl>
                <c:lvl>
                  <c:pt idx="0">
                    <c:v>Техногенные ЧС, ед.</c:v>
                  </c:pt>
                </c:lvl>
              </c:multiLvlStrCache>
            </c:multiLvlStrRef>
          </c:cat>
          <c:val>
            <c:numRef>
              <c:f>('Таблица 1.3+'!$F$40,'Таблица 1.3+'!$F$88)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F3-48BD-9AE5-7BB845C551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8871711716663684"/>
          <c:y val="0.37917693910631739"/>
          <c:w val="0.19267034029123323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'1.2 оперативные показатели'!$C$1:$D$2</c:f>
              <c:multiLvlStrCache>
                <c:ptCount val="1"/>
                <c:lvl>
                  <c:pt idx="0">
                    <c:v>Природные ЧС, ед.</c:v>
                  </c:pt>
                </c:lvl>
                <c:lvl>
                  <c:pt idx="0">
                    <c:v>Техногенные ЧС, ед.</c:v>
                  </c:pt>
                </c:lvl>
              </c:multiLvlStrCache>
            </c:multiLvlStrRef>
          </c:cat>
          <c:val>
            <c:numRef>
              <c:f>('Таблица 1.3+'!$I$40,'Таблица 1.3+'!$I$88)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FB-4A6F-B50B-7ECF822EC3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80500565701538618"/>
          <c:y val="0.37917693910631739"/>
          <c:w val="0.17638180044248394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'1.2 оперативные показатели'!$C$1:$D$2</c:f>
              <c:multiLvlStrCache>
                <c:ptCount val="1"/>
                <c:lvl>
                  <c:pt idx="0">
                    <c:v>Природные ЧС, ед.</c:v>
                  </c:pt>
                </c:lvl>
                <c:lvl>
                  <c:pt idx="0">
                    <c:v>Техногенные ЧС, ед.</c:v>
                  </c:pt>
                </c:lvl>
              </c:multiLvlStrCache>
            </c:multiLvlStrRef>
          </c:cat>
          <c:val>
            <c:numRef>
              <c:f>('Таблица 1.3+'!$L$40,'Таблица 1.3+'!$L$88)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FF9-A95A-D2B03CFF2E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80500565701538618"/>
          <c:y val="0.37917693910631739"/>
          <c:w val="0.17638180044248394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1.3+'!$B$1:$C$2</c:f>
              <c:strCache>
                <c:ptCount val="1"/>
                <c:pt idx="0">
                  <c:v>Количество ЧС, ед.</c:v>
                </c:pt>
              </c:strCache>
            </c:strRef>
          </c:cat>
          <c:val>
            <c:numRef>
              <c:f>'Таблица 1.3+'!$B$94</c:f>
              <c:numCache>
                <c:formatCode>General</c:formatCode>
                <c:ptCount val="1"/>
                <c:pt idx="0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CA-45BC-A8B8-2C22F20DD2D7}"/>
            </c:ext>
          </c:extLst>
        </c:ser>
        <c:ser>
          <c:idx val="1"/>
          <c:order val="1"/>
          <c:tx>
            <c:v>2023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1.3+'!$B$1:$C$2</c:f>
              <c:strCache>
                <c:ptCount val="1"/>
                <c:pt idx="0">
                  <c:v>Количество ЧС, ед.</c:v>
                </c:pt>
              </c:strCache>
            </c:strRef>
          </c:cat>
          <c:val>
            <c:numRef>
              <c:f>'Таблица 1.3+'!$C$94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CA-45BC-A8B8-2C22F20D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87520"/>
        <c:axId val="110989312"/>
      </c:barChart>
      <c:catAx>
        <c:axId val="11098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989312"/>
        <c:crosses val="autoZero"/>
        <c:auto val="1"/>
        <c:lblAlgn val="ctr"/>
        <c:lblOffset val="100"/>
        <c:noMultiLvlLbl val="0"/>
      </c:catAx>
      <c:valAx>
        <c:axId val="11098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Количество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ЧС</a:t>
                </a:r>
                <a:endParaRPr lang="ru-RU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098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1.3+'!$E$1:$F$2</c:f>
              <c:strCache>
                <c:ptCount val="1"/>
                <c:pt idx="0">
                  <c:v>Погибло, чел.</c:v>
                </c:pt>
              </c:strCache>
            </c:strRef>
          </c:cat>
          <c:val>
            <c:numRef>
              <c:f>'Таблица 1.3+'!$E$94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7-41FF-999F-EB756A9CBD59}"/>
            </c:ext>
          </c:extLst>
        </c:ser>
        <c:ser>
          <c:idx val="1"/>
          <c:order val="1"/>
          <c:tx>
            <c:v>2023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1.3+'!$E$1:$F$2</c:f>
              <c:strCache>
                <c:ptCount val="1"/>
                <c:pt idx="0">
                  <c:v>Погибло, чел.</c:v>
                </c:pt>
              </c:strCache>
            </c:strRef>
          </c:cat>
          <c:val>
            <c:numRef>
              <c:f>'Таблица 1.3+'!$F$94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7-41FF-999F-EB756A9C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11104"/>
        <c:axId val="111329280"/>
      </c:barChart>
      <c:catAx>
        <c:axId val="111311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1329280"/>
        <c:crosses val="autoZero"/>
        <c:auto val="1"/>
        <c:lblAlgn val="ctr"/>
        <c:lblOffset val="100"/>
        <c:noMultiLvlLbl val="0"/>
      </c:catAx>
      <c:valAx>
        <c:axId val="1113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Количество погибших в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ЧС</a:t>
                </a:r>
                <a:endParaRPr lang="ru-RU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131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1.3+'!$H$1:$I$2</c:f>
              <c:strCache>
                <c:ptCount val="1"/>
                <c:pt idx="0">
                  <c:v>Пострадало, чел.</c:v>
                </c:pt>
              </c:strCache>
            </c:strRef>
          </c:cat>
          <c:val>
            <c:numRef>
              <c:f>'Таблица 1.3+'!$H$94</c:f>
              <c:numCache>
                <c:formatCode>General</c:formatCode>
                <c:ptCount val="1"/>
                <c:pt idx="0">
                  <c:v>157466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AC-418F-AF1E-5BBA3AB76803}"/>
            </c:ext>
          </c:extLst>
        </c:ser>
        <c:ser>
          <c:idx val="1"/>
          <c:order val="1"/>
          <c:tx>
            <c:v>2023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1.3+'!$H$1:$I$2</c:f>
              <c:strCache>
                <c:ptCount val="1"/>
                <c:pt idx="0">
                  <c:v>Пострадало, чел.</c:v>
                </c:pt>
              </c:strCache>
            </c:strRef>
          </c:cat>
          <c:val>
            <c:numRef>
              <c:f>'Таблица 1.3+'!$I$94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AC-418F-AF1E-5BBA3AB7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35648"/>
        <c:axId val="114245632"/>
      </c:barChart>
      <c:catAx>
        <c:axId val="11423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245632"/>
        <c:crosses val="autoZero"/>
        <c:auto val="1"/>
        <c:lblAlgn val="ctr"/>
        <c:lblOffset val="100"/>
        <c:noMultiLvlLbl val="0"/>
      </c:catAx>
      <c:valAx>
        <c:axId val="11424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Количество пострадавших в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ЧС</a:t>
                </a:r>
                <a:endParaRPr lang="ru-RU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42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1.3+'!$K$1:$L$2</c:f>
              <c:strCache>
                <c:ptCount val="1"/>
                <c:pt idx="0">
                  <c:v>Спасено, чел.</c:v>
                </c:pt>
              </c:strCache>
            </c:strRef>
          </c:cat>
          <c:val>
            <c:numRef>
              <c:f>'Таблица 1.3+'!$K$94</c:f>
              <c:numCache>
                <c:formatCode>General</c:formatCode>
                <c:ptCount val="1"/>
                <c:pt idx="0">
                  <c:v>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6-496E-A97F-009655D0E191}"/>
            </c:ext>
          </c:extLst>
        </c:ser>
        <c:ser>
          <c:idx val="1"/>
          <c:order val="1"/>
          <c:tx>
            <c:v>2023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1.3+'!$K$1:$L$2</c:f>
              <c:strCache>
                <c:ptCount val="1"/>
                <c:pt idx="0">
                  <c:v>Спасено, чел.</c:v>
                </c:pt>
              </c:strCache>
            </c:strRef>
          </c:cat>
          <c:val>
            <c:numRef>
              <c:f>'Таблица 1.3+'!$L$94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46-496E-A97F-009655D0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2992"/>
        <c:axId val="114036736"/>
      </c:barChart>
      <c:catAx>
        <c:axId val="114292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036736"/>
        <c:crosses val="autoZero"/>
        <c:auto val="1"/>
        <c:lblAlgn val="ctr"/>
        <c:lblOffset val="100"/>
        <c:noMultiLvlLbl val="0"/>
      </c:catAx>
      <c:valAx>
        <c:axId val="11403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Количество спасенных в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ЧС</a:t>
                </a:r>
                <a:endParaRPr lang="ru-RU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429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2022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1.3+'!$K$1:$L$2</c:f>
              <c:strCache>
                <c:ptCount val="1"/>
                <c:pt idx="0">
                  <c:v>Спасено, чел.</c:v>
                </c:pt>
              </c:strCache>
            </c:strRef>
          </c:cat>
          <c:val>
            <c:numRef>
              <c:f>'Таблица 1.4+'!$B$93</c:f>
              <c:numCache>
                <c:formatCode>General</c:formatCode>
                <c:ptCount val="1"/>
                <c:pt idx="0">
                  <c:v>7828394.7328999992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7-4EE4-8820-7B4219229F91}"/>
            </c:ext>
          </c:extLst>
        </c:ser>
        <c:ser>
          <c:idx val="1"/>
          <c:order val="1"/>
          <c:tx>
            <c:v>2023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'Таблица 1.3+'!$K$1:$L$2</c:f>
              <c:strCache>
                <c:ptCount val="1"/>
                <c:pt idx="0">
                  <c:v>Спасено, чел.</c:v>
                </c:pt>
              </c:strCache>
            </c:strRef>
          </c:cat>
          <c:val>
            <c:numRef>
              <c:f>'Таблица 1.4+'!$C$93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77-4EE4-8820-7B421922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71808"/>
        <c:axId val="114089984"/>
      </c:barChart>
      <c:catAx>
        <c:axId val="11407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089984"/>
        <c:crosses val="autoZero"/>
        <c:auto val="1"/>
        <c:lblAlgn val="ctr"/>
        <c:lblOffset val="100"/>
        <c:noMultiLvlLbl val="0"/>
      </c:catAx>
      <c:valAx>
        <c:axId val="11408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Ущерб от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ЧС</a:t>
                </a:r>
                <a:endParaRPr lang="ru-RU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40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'1.16 СПО ФПС'!$C$3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'1.16 СПО ФПС'!$C$4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3-4CDE-99F5-CBB55EE3C745}"/>
            </c:ext>
          </c:extLst>
        </c:ser>
        <c:ser>
          <c:idx val="1"/>
          <c:order val="1"/>
          <c:tx>
            <c:strRef>
              <c:f>'1.16 СПО ФПС'!$D$3</c:f>
              <c:strCache>
                <c:ptCount val="1"/>
                <c:pt idx="0">
                  <c:v>2024г.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'1.16 СПО ФПС'!$D$4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D3-4CDE-99F5-CBB55EE3C7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191360"/>
        <c:axId val="114201728"/>
      </c:barChart>
      <c:catAx>
        <c:axId val="114191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количество пожаров на объектах и ЗАТО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201728"/>
        <c:crosses val="autoZero"/>
        <c:auto val="1"/>
        <c:lblAlgn val="ctr"/>
        <c:lblOffset val="100"/>
        <c:noMultiLvlLbl val="0"/>
      </c:catAx>
      <c:valAx>
        <c:axId val="1142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19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'1.16 СПО ФПС'!$B$5:$B$7</c:f>
              <c:strCache>
                <c:ptCount val="3"/>
                <c:pt idx="0">
                  <c:v>практических отработок по эвакуации людей из зданий и действий в случае ЧС, отработок оперативных планов и карточек тушения пожаров</c:v>
                </c:pt>
                <c:pt idx="1">
                  <c:v>человек обучено мерам пожарной безопасности</c:v>
                </c:pt>
                <c:pt idx="2">
                  <c:v>информационных материалов размещено в социальных сетях</c:v>
                </c:pt>
              </c:strCache>
            </c:strRef>
          </c:cat>
          <c:val>
            <c:numRef>
              <c:f>'1.16 СПО ФПС'!$C$5:$C$7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F-4D9F-83D1-218E31434251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'1.16 СПО ФПС'!$B$5:$B$7</c:f>
              <c:strCache>
                <c:ptCount val="3"/>
                <c:pt idx="0">
                  <c:v>практических отработок по эвакуации людей из зданий и действий в случае ЧС, отработок оперативных планов и карточек тушения пожаров</c:v>
                </c:pt>
                <c:pt idx="1">
                  <c:v>человек обучено мерам пожарной безопасности</c:v>
                </c:pt>
                <c:pt idx="2">
                  <c:v>информационных материалов размещено в социальных сетях</c:v>
                </c:pt>
              </c:strCache>
            </c:strRef>
          </c:cat>
          <c:val>
            <c:numRef>
              <c:f>'1.16 СПО ФПС'!$D$5:$D$7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F-4D9F-83D1-218E314342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76768"/>
        <c:axId val="114578560"/>
      </c:barChart>
      <c:catAx>
        <c:axId val="11457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578560"/>
        <c:crosses val="autoZero"/>
        <c:auto val="1"/>
        <c:lblAlgn val="ctr"/>
        <c:lblOffset val="100"/>
        <c:noMultiLvlLbl val="0"/>
      </c:catAx>
      <c:valAx>
        <c:axId val="11457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57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'1.16 СПО ФПС'!$B$8</c:f>
              <c:strCache>
                <c:ptCount val="1"/>
                <c:pt idx="0">
                  <c:v>Спасены на пожарах, чел.</c:v>
                </c:pt>
              </c:strCache>
            </c:strRef>
          </c:cat>
          <c:val>
            <c:numRef>
              <c:f>'1.16 СПО ФПС'!$C$8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00-452A-9EB0-910B61A07766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'1.16 СПО ФПС'!$B$8</c:f>
              <c:strCache>
                <c:ptCount val="1"/>
                <c:pt idx="0">
                  <c:v>Спасены на пожарах, чел.</c:v>
                </c:pt>
              </c:strCache>
            </c:strRef>
          </c:cat>
          <c:val>
            <c:numRef>
              <c:f>'1.16 СПО ФПС'!$D$8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00-452A-9EB0-910B61A0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605056"/>
        <c:axId val="114619136"/>
      </c:barChart>
      <c:catAx>
        <c:axId val="1146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619136"/>
        <c:crosses val="autoZero"/>
        <c:auto val="1"/>
        <c:lblAlgn val="ctr"/>
        <c:lblOffset val="100"/>
        <c:noMultiLvlLbl val="0"/>
      </c:catAx>
      <c:valAx>
        <c:axId val="1146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6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'1.16 СПО ФПС'!$B$9:$B$13</c:f>
              <c:strCache>
                <c:ptCount val="5"/>
                <c:pt idx="0">
                  <c:v>контрольных (надзорных мероприятий)</c:v>
                </c:pt>
                <c:pt idx="1">
                  <c:v>нарушений требований пожарной безопасности</c:v>
                </c:pt>
                <c:pt idx="2">
                  <c:v>Предписаний по устранению нарушений требований пожарной безопасности</c:v>
                </c:pt>
                <c:pt idx="3">
                  <c:v>протоколов об административных правонарушениях</c:v>
                </c:pt>
                <c:pt idx="4">
                  <c:v>массовых профилактических мероприятий</c:v>
                </c:pt>
              </c:strCache>
            </c:strRef>
          </c:cat>
          <c:val>
            <c:numRef>
              <c:f>'1.16 СПО ФПС'!$C$9:$C$13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1E-4972-9E5E-F29AAA0152DF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'1.16 СПО ФПС'!$B$9:$B$13</c:f>
              <c:strCache>
                <c:ptCount val="5"/>
                <c:pt idx="0">
                  <c:v>контрольных (надзорных мероприятий)</c:v>
                </c:pt>
                <c:pt idx="1">
                  <c:v>нарушений требований пожарной безопасности</c:v>
                </c:pt>
                <c:pt idx="2">
                  <c:v>Предписаний по устранению нарушений требований пожарной безопасности</c:v>
                </c:pt>
                <c:pt idx="3">
                  <c:v>протоколов об административных правонарушениях</c:v>
                </c:pt>
                <c:pt idx="4">
                  <c:v>массовых профилактических мероприятий</c:v>
                </c:pt>
              </c:strCache>
            </c:strRef>
          </c:cat>
          <c:val>
            <c:numRef>
              <c:f>'1.16 СПО ФПС'!$D$9:$D$13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1E-4972-9E5E-F29AAA0152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387968"/>
        <c:axId val="114406144"/>
      </c:barChart>
      <c:catAx>
        <c:axId val="1143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406144"/>
        <c:crosses val="autoZero"/>
        <c:auto val="1"/>
        <c:lblAlgn val="ctr"/>
        <c:lblOffset val="100"/>
        <c:noMultiLvlLbl val="0"/>
      </c:catAx>
      <c:valAx>
        <c:axId val="11440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38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'1.17 Психологи'!$B$2</c:f>
              <c:strCache>
                <c:ptCount val="1"/>
                <c:pt idx="0">
                  <c:v>Количество привлечений психологов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'1.17 Психологи'!$B$3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F3-451F-B3FC-9CB5D5E6EF20}"/>
            </c:ext>
          </c:extLst>
        </c:ser>
        <c:ser>
          <c:idx val="1"/>
          <c:order val="1"/>
          <c:tx>
            <c:strRef>
              <c:f>'1.17 Психологи'!$C$2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'1.17 Психологи'!$C$3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F3-451F-B3FC-9CB5D5E6EF20}"/>
            </c:ext>
          </c:extLst>
        </c:ser>
        <c:ser>
          <c:idx val="2"/>
          <c:order val="2"/>
          <c:tx>
            <c:strRef>
              <c:f>'1.17 Психологи'!$D$2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'1.17 Психологи'!$D$3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F3-451F-B3FC-9CB5D5E6EF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624384"/>
        <c:axId val="112625920"/>
      </c:barChart>
      <c:catAx>
        <c:axId val="112624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625920"/>
        <c:crosses val="autoZero"/>
        <c:auto val="1"/>
        <c:lblAlgn val="ctr"/>
        <c:lblOffset val="100"/>
        <c:noMultiLvlLbl val="0"/>
      </c:catAx>
      <c:valAx>
        <c:axId val="1126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26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'1.18 ДПО'!$C$4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'1.18 ДПО'!$C$5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18-4EDC-BC93-3D0882AB9605}"/>
            </c:ext>
          </c:extLst>
        </c:ser>
        <c:ser>
          <c:idx val="1"/>
          <c:order val="1"/>
          <c:tx>
            <c:strRef>
              <c:f>'1.18 ДПО'!$D$4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'1.18 ДПО'!$D$5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18-4EDC-BC93-3D0882AB9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517120"/>
        <c:axId val="114519040"/>
      </c:barChart>
      <c:catAx>
        <c:axId val="1145171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участий в тушении пожаров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14519040"/>
        <c:crosses val="autoZero"/>
        <c:auto val="1"/>
        <c:lblAlgn val="ctr"/>
        <c:lblOffset val="100"/>
        <c:noMultiLvlLbl val="0"/>
      </c:catAx>
      <c:valAx>
        <c:axId val="1145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51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'1.18 ДПО'!$C$22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'1.18 ДПО'!$C$23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C-49E8-94A4-223E267A394D}"/>
            </c:ext>
          </c:extLst>
        </c:ser>
        <c:ser>
          <c:idx val="1"/>
          <c:order val="1"/>
          <c:tx>
            <c:strRef>
              <c:f>'1.18 ДПО'!$D$22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'1.18 ДПО'!$D$23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C-49E8-94A4-223E267A3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689152"/>
        <c:axId val="114691072"/>
      </c:barChart>
      <c:catAx>
        <c:axId val="1146891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спасенных, чел.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14691072"/>
        <c:crosses val="autoZero"/>
        <c:auto val="1"/>
        <c:lblAlgn val="ctr"/>
        <c:lblOffset val="100"/>
        <c:noMultiLvlLbl val="0"/>
      </c:catAx>
      <c:valAx>
        <c:axId val="1146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6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'1.18 ДПО'!$C$41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'1.18 ДПО'!$C$42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EC-4DCF-9ADF-AF031053E36E}"/>
            </c:ext>
          </c:extLst>
        </c:ser>
        <c:ser>
          <c:idx val="1"/>
          <c:order val="1"/>
          <c:tx>
            <c:strRef>
              <c:f>'1.18 ДПО'!$D$41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'1.18 ДПО'!$D$42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EC-4DCF-9ADF-AF031053E3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42400"/>
        <c:axId val="114743936"/>
      </c:barChart>
      <c:catAx>
        <c:axId val="114742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4743936"/>
        <c:crosses val="autoZero"/>
        <c:auto val="1"/>
        <c:lblAlgn val="ctr"/>
        <c:lblOffset val="100"/>
        <c:noMultiLvlLbl val="0"/>
      </c:catAx>
      <c:valAx>
        <c:axId val="1147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74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'1.18 ДПО'!$D$16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'1.18 ДПО'!$B$17:$B$19</c:f>
              <c:strCache>
                <c:ptCount val="3"/>
                <c:pt idx="0">
                  <c:v>подворовых обходов в сельских населенных пунктах</c:v>
                </c:pt>
                <c:pt idx="1">
                  <c:v>обследований многоквартирных жилых домов и придомовых территорий</c:v>
                </c:pt>
                <c:pt idx="2">
                  <c:v>бесед по вопросам соблюдения правил безопасности при возникновении ЧС (пожаров) и безопасности жизнедеятельности</c:v>
                </c:pt>
              </c:strCache>
            </c:strRef>
          </c:cat>
          <c:val>
            <c:numRef>
              <c:f>'1.18 ДПО'!$D$17:$D$19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FF-4681-909B-182859970D41}"/>
            </c:ext>
          </c:extLst>
        </c:ser>
        <c:ser>
          <c:idx val="2"/>
          <c:order val="1"/>
          <c:tx>
            <c:strRef>
              <c:f>'1.18 ДПО'!$E$16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'1.18 ДПО'!$B$17:$B$19</c:f>
              <c:strCache>
                <c:ptCount val="3"/>
                <c:pt idx="0">
                  <c:v>подворовых обходов в сельских населенных пунктах</c:v>
                </c:pt>
                <c:pt idx="1">
                  <c:v>обследований многоквартирных жилых домов и придомовых территорий</c:v>
                </c:pt>
                <c:pt idx="2">
                  <c:v>бесед по вопросам соблюдения правил безопасности при возникновении ЧС (пожаров) и безопасности жизнедеятельности</c:v>
                </c:pt>
              </c:strCache>
            </c:strRef>
          </c:cat>
          <c:val>
            <c:numRef>
              <c:f>'1.18 ДПО'!$E$17:$E$19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FF-4681-909B-182859970D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736192"/>
        <c:axId val="11773772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'[3]1.22 ДПО'!$C$16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'[3]1.22 ДПО'!$B$17:$B$19</c15:sqref>
                        </c15:formulaRef>
                      </c:ext>
                    </c:extLst>
                    <c:strCache>
                      <c:ptCount val="3"/>
                      <c:pt idx="0">
                        <c:v>подворовых обхода в сельских населенных пунктах</c:v>
                      </c:pt>
                      <c:pt idx="1">
                        <c:v>обследований многоквартирных жилых домов и придомовых территорий</c:v>
                      </c:pt>
                      <c:pt idx="2">
                        <c:v>бесед по вопросам соблюдения правил безопасности при возникновении ЧС (пожаров) и безопасности жизнедеятельности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'[3]1.22 ДПО'!$C$17:$C$19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A3FF-4681-909B-182859970D41}"/>
                  </c:ext>
                </c:extLst>
              </c15:ser>
            </c15:filteredBarSeries>
          </c:ext>
        </c:extLst>
      </c:barChart>
      <c:catAx>
        <c:axId val="1177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7737728"/>
        <c:crosses val="autoZero"/>
        <c:auto val="1"/>
        <c:lblAlgn val="ctr"/>
        <c:lblOffset val="100"/>
        <c:noMultiLvlLbl val="0"/>
      </c:catAx>
      <c:valAx>
        <c:axId val="11773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773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'1.18 ДПО'!$C$28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'1.18 ДПО'!$B$29:$B$30</c:f>
              <c:strCache>
                <c:ptCount val="2"/>
                <c:pt idx="0">
                  <c:v>подразделений</c:v>
                </c:pt>
                <c:pt idx="1">
                  <c:v>добровольных пожарных</c:v>
                </c:pt>
              </c:strCache>
            </c:strRef>
          </c:cat>
          <c:val>
            <c:numRef>
              <c:f>'1.18 ДПО'!$C$29:$C$30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1D-4494-930F-C87354765296}"/>
            </c:ext>
          </c:extLst>
        </c:ser>
        <c:ser>
          <c:idx val="1"/>
          <c:order val="1"/>
          <c:tx>
            <c:strRef>
              <c:f>'1.18 ДПО'!$D$28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'1.18 ДПО'!$B$29:$B$30</c:f>
              <c:strCache>
                <c:ptCount val="2"/>
                <c:pt idx="0">
                  <c:v>подразделений</c:v>
                </c:pt>
                <c:pt idx="1">
                  <c:v>добровольных пожарных</c:v>
                </c:pt>
              </c:strCache>
            </c:strRef>
          </c:cat>
          <c:val>
            <c:numRef>
              <c:f>'1.18 ДПО'!$D$29:$D$30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1D-4494-930F-C87354765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789056"/>
        <c:axId val="117790592"/>
      </c:barChart>
      <c:catAx>
        <c:axId val="11778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790592"/>
        <c:crosses val="autoZero"/>
        <c:auto val="1"/>
        <c:lblAlgn val="ctr"/>
        <c:lblOffset val="100"/>
        <c:noMultiLvlLbl val="0"/>
      </c:catAx>
      <c:valAx>
        <c:axId val="1177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778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'1.19 Надзор ЗНТЧС '!$C$3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'1.19 Надзор ЗНТЧС '!$B$4:$B$8</c:f>
              <c:strCache>
                <c:ptCount val="5"/>
                <c:pt idx="0">
                  <c:v>проведено плановых и внеплановых контрольных (надзорных) мероприятий</c:v>
                </c:pt>
                <c:pt idx="1">
                  <c:v>выдано предписаний об устранении нарушений обязательных требований и реализации полномочий в области защиты населения и территорий от ЧС</c:v>
                </c:pt>
                <c:pt idx="2">
                  <c:v>выявлено нарушений требований и реализации полномочий в области защиты населения и территорий от ЧС</c:v>
                </c:pt>
                <c:pt idx="3">
                  <c:v>устранено нарушений требований и реализации полномочий в области защиты населения и территорий от ЧС</c:v>
                </c:pt>
                <c:pt idx="4">
                  <c:v>привлечено к административной ответственности</c:v>
                </c:pt>
              </c:strCache>
            </c:strRef>
          </c:cat>
          <c:val>
            <c:numRef>
              <c:f>'1.19 Надзор ЗНТЧС '!$C$4:$C$8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'1.19 Надзор ЗНТЧС '!$D$3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'1.19 Надзор ЗНТЧС '!$B$4:$B$8</c:f>
              <c:strCache>
                <c:ptCount val="5"/>
                <c:pt idx="0">
                  <c:v>проведено плановых и внеплановых контрольных (надзорных) мероприятий</c:v>
                </c:pt>
                <c:pt idx="1">
                  <c:v>выдано предписаний об устранении нарушений обязательных требований и реализации полномочий в области защиты населения и территорий от ЧС</c:v>
                </c:pt>
                <c:pt idx="2">
                  <c:v>выявлено нарушений требований и реализации полномочий в области защиты населения и территорий от ЧС</c:v>
                </c:pt>
                <c:pt idx="3">
                  <c:v>устранено нарушений требований и реализации полномочий в области защиты населения и территорий от ЧС</c:v>
                </c:pt>
                <c:pt idx="4">
                  <c:v>привлечено к административной ответственности</c:v>
                </c:pt>
              </c:strCache>
            </c:strRef>
          </c:cat>
          <c:val>
            <c:numRef>
              <c:f>'1.19 Надзор ЗНТЧС '!$D$4:$D$8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16192"/>
        <c:axId val="129417984"/>
      </c:barChart>
      <c:catAx>
        <c:axId val="12941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417984"/>
        <c:crosses val="autoZero"/>
        <c:auto val="1"/>
        <c:lblAlgn val="ctr"/>
        <c:lblOffset val="100"/>
        <c:noMultiLvlLbl val="0"/>
      </c:catAx>
      <c:valAx>
        <c:axId val="12941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1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aseline="0">
          <a:latin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'1.20 ГПН'!$C$2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ГПН'!$C$3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8CA-B312-254A32A09667}"/>
            </c:ext>
          </c:extLst>
        </c:ser>
        <c:ser>
          <c:idx val="1"/>
          <c:order val="1"/>
          <c:tx>
            <c:strRef>
              <c:f>'1.20 ГПН'!$D$2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ГПН'!$D$3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8CA-B312-254A32A096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792640"/>
        <c:axId val="129802624"/>
      </c:barChart>
      <c:catAx>
        <c:axId val="129792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802624"/>
        <c:crosses val="autoZero"/>
        <c:auto val="1"/>
        <c:lblAlgn val="ctr"/>
        <c:lblOffset val="100"/>
        <c:noMultiLvlLbl val="0"/>
      </c:catAx>
      <c:valAx>
        <c:axId val="1298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297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'1.20 ГПН'!$I$2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ГПН'!$I$3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C4-412A-8994-26161CD0A612}"/>
            </c:ext>
          </c:extLst>
        </c:ser>
        <c:ser>
          <c:idx val="1"/>
          <c:order val="1"/>
          <c:tx>
            <c:strRef>
              <c:f>'1.20 ГПН'!$J$2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ГПН'!$J$3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C4-412A-8994-26161CD0A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53376"/>
        <c:axId val="133275648"/>
      </c:barChart>
      <c:catAx>
        <c:axId val="133253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275648"/>
        <c:crosses val="autoZero"/>
        <c:auto val="1"/>
        <c:lblAlgn val="ctr"/>
        <c:lblOffset val="100"/>
        <c:noMultiLvlLbl val="0"/>
      </c:catAx>
      <c:valAx>
        <c:axId val="1332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2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'1.20 ГПН'!$I$16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ГПН'!$I$17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2-4005-89E2-D04D20F9CA82}"/>
            </c:ext>
          </c:extLst>
        </c:ser>
        <c:ser>
          <c:idx val="1"/>
          <c:order val="1"/>
          <c:tx>
            <c:strRef>
              <c:f>'1.20 ГПН'!$J$16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ГПН'!$J$17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32-4005-89E2-D04D20F9CA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98048"/>
        <c:axId val="133299584"/>
      </c:barChart>
      <c:catAx>
        <c:axId val="133298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299584"/>
        <c:crosses val="autoZero"/>
        <c:auto val="1"/>
        <c:lblAlgn val="ctr"/>
        <c:lblOffset val="100"/>
        <c:noMultiLvlLbl val="0"/>
      </c:catAx>
      <c:valAx>
        <c:axId val="1332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29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'1.20 ГПН'!$C$16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3A-48EC-B852-C8CF56135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ГПН'!$C$17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3A-48EC-B852-C8CF56135CC3}"/>
            </c:ext>
          </c:extLst>
        </c:ser>
        <c:ser>
          <c:idx val="1"/>
          <c:order val="1"/>
          <c:tx>
            <c:strRef>
              <c:f>'1.20 ГПН'!$D$16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'1.20 ГПН'!$D$17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3A-48EC-B852-C8CF56135C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015808"/>
        <c:axId val="133103616"/>
      </c:barChart>
      <c:catAx>
        <c:axId val="133015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03616"/>
        <c:crosses val="autoZero"/>
        <c:auto val="1"/>
        <c:lblAlgn val="ctr"/>
        <c:lblOffset val="100"/>
        <c:noMultiLvlLbl val="0"/>
      </c:catAx>
      <c:valAx>
        <c:axId val="1331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01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'1.20 ГПН'!$C$29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'[4]1.24 ГПН'!$B$30:$B$31</c:f>
              <c:strCache>
                <c:ptCount val="2"/>
                <c:pt idx="0">
                  <c:v>Плановые </c:v>
                </c:pt>
                <c:pt idx="1">
                  <c:v>Внеплановые</c:v>
                </c:pt>
              </c:strCache>
            </c:strRef>
          </c:cat>
          <c:val>
            <c:numRef>
              <c:f>'1.20 ГПН'!$C$30:$C$31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D7-4BEA-BA61-81347EB10502}"/>
            </c:ext>
          </c:extLst>
        </c:ser>
        <c:ser>
          <c:idx val="1"/>
          <c:order val="1"/>
          <c:tx>
            <c:strRef>
              <c:f>'1.20 ГПН'!$D$29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'[4]1.24 ГПН'!$B$30:$B$31</c:f>
              <c:strCache>
                <c:ptCount val="2"/>
                <c:pt idx="0">
                  <c:v>Плановые </c:v>
                </c:pt>
                <c:pt idx="1">
                  <c:v>Внеплановые</c:v>
                </c:pt>
              </c:strCache>
            </c:strRef>
          </c:cat>
          <c:val>
            <c:numRef>
              <c:f>'1.20 ГПН'!$D$30:$D$31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D7-4BEA-BA61-81347EB105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138304"/>
        <c:axId val="133139840"/>
      </c:barChart>
      <c:catAx>
        <c:axId val="13313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139840"/>
        <c:crosses val="autoZero"/>
        <c:auto val="1"/>
        <c:lblAlgn val="ctr"/>
        <c:lblOffset val="100"/>
        <c:noMultiLvlLbl val="0"/>
      </c:catAx>
      <c:valAx>
        <c:axId val="13313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Количество проверок, ед.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13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87270341207349"/>
          <c:y val="6.4859856381746586E-2"/>
          <c:w val="0.73423840769903748"/>
          <c:h val="0.735587742289684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'1.20 ГПН'!$I$29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'[4]1.24 ГПН'!$H$30</c:f>
              <c:strCache>
                <c:ptCount val="1"/>
                <c:pt idx="0">
                  <c:v>Количество выданных предписаний</c:v>
                </c:pt>
              </c:strCache>
            </c:strRef>
          </c:cat>
          <c:val>
            <c:numRef>
              <c:f>'1.20 ГПН'!$I$30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2-480A-BAA8-AD484CE2EF92}"/>
            </c:ext>
          </c:extLst>
        </c:ser>
        <c:ser>
          <c:idx val="1"/>
          <c:order val="1"/>
          <c:tx>
            <c:strRef>
              <c:f>'1.20 ГПН'!$J$29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'[4]1.24 ГПН'!$H$30</c:f>
              <c:strCache>
                <c:ptCount val="1"/>
                <c:pt idx="0">
                  <c:v>Количество выданных предписаний</c:v>
                </c:pt>
              </c:strCache>
            </c:strRef>
          </c:cat>
          <c:val>
            <c:numRef>
              <c:f>'1.20 ГПН'!$J$30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C2-480A-BAA8-AD484CE2EF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179264"/>
        <c:axId val="133180800"/>
      </c:barChart>
      <c:catAx>
        <c:axId val="13317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180800"/>
        <c:crosses val="autoZero"/>
        <c:auto val="1"/>
        <c:lblAlgn val="ctr"/>
        <c:lblOffset val="100"/>
        <c:noMultiLvlLbl val="0"/>
      </c:catAx>
      <c:valAx>
        <c:axId val="13318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17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'[4]1.25 Лицензир-е'!$X$8:$X$15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'1.21 Лицензирование'!$Y$8:$Y$15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F-42D7-8E7C-D45CB68C837B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'[4]1.25 Лицензир-е'!$X$8:$X$15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'1.21 Лицензирование'!$AA$8:$AA$15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EF-42D7-8E7C-D45CB68C83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4560768"/>
        <c:axId val="134566656"/>
      </c:barChart>
      <c:catAx>
        <c:axId val="13456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4566656"/>
        <c:crosses val="autoZero"/>
        <c:auto val="1"/>
        <c:lblAlgn val="ctr"/>
        <c:lblOffset val="100"/>
        <c:noMultiLvlLbl val="0"/>
      </c:catAx>
      <c:valAx>
        <c:axId val="13456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Количество лицензий, ед.</a:t>
                </a:r>
              </a:p>
            </c:rich>
          </c:tx>
          <c:layout>
            <c:manualLayout>
              <c:xMode val="edge"/>
              <c:yMode val="edge"/>
              <c:x val="0.31975568678915139"/>
              <c:y val="0.80518445610965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456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875021872265964"/>
          <c:y val="0.82928186060075804"/>
          <c:w val="0.12305489938757655"/>
          <c:h val="0.11053295421405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2023 г.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'[4]1.25 Лицензир-е'!$X$8:$X$15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'1.21 Лицензирование'!$Z$8:$Z$15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BB-4F3B-BC95-D103AD8A9E5D}"/>
            </c:ext>
          </c:extLst>
        </c:ser>
        <c:ser>
          <c:idx val="1"/>
          <c:order val="1"/>
          <c:tx>
            <c:v>2024 г.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'[4]1.25 Лицензир-е'!$X$8:$X$15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'1.21 Лицензирование'!$AB$8:$AB$15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BB-4F3B-BC95-D103AD8A9E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4680576"/>
        <c:axId val="134682112"/>
      </c:barChart>
      <c:catAx>
        <c:axId val="13468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4682112"/>
        <c:crosses val="autoZero"/>
        <c:auto val="1"/>
        <c:lblAlgn val="ctr"/>
        <c:lblOffset val="100"/>
        <c:noMultiLvlLbl val="0"/>
      </c:catAx>
      <c:valAx>
        <c:axId val="13468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468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Лицензирование деятельности по тушению пожаров  в населенных пунктах, на производственных объектах и объектах инфраструктуры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'1.21 Лицензирование'!$AF$7</c:f>
              <c:strCache>
                <c:ptCount val="1"/>
                <c:pt idx="0">
                  <c:v>Деятельность по тушению пожаров  в населенных пунктах, на производственных объектах и объектах инфраструктуры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Лицензирование'!$AG$6:$AS$6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'1.21 Лицензирование'!$AG$7:$AS$7</c:f>
              <c:numCache>
                <c:formatCode>General</c:formatCode>
                <c:ptCount val="13"/>
                <c:pt idx="0">
                  <c:v>189</c:v>
                </c:pt>
                <c:pt idx="1">
                  <c:v>171</c:v>
                </c:pt>
                <c:pt idx="2">
                  <c:v>86</c:v>
                </c:pt>
                <c:pt idx="3">
                  <c:v>98</c:v>
                </c:pt>
                <c:pt idx="4">
                  <c:v>133</c:v>
                </c:pt>
                <c:pt idx="5">
                  <c:v>125</c:v>
                </c:pt>
                <c:pt idx="6">
                  <c:v>42</c:v>
                </c:pt>
                <c:pt idx="7">
                  <c:v>66</c:v>
                </c:pt>
                <c:pt idx="8">
                  <c:v>43</c:v>
                </c:pt>
                <c:pt idx="9">
                  <c:v>27</c:v>
                </c:pt>
                <c:pt idx="10">
                  <c:v>22</c:v>
                </c:pt>
                <c:pt idx="11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FC-4DE3-B502-74143E540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714112"/>
        <c:axId val="134716800"/>
      </c:lineChart>
      <c:catAx>
        <c:axId val="1347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471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Лицензирование деятельности по монтажу, техническому обслуживанию и ремонту средств обеспечения пожарной безопасности зданий и сооружений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'1.21 Лицензирование'!$AF$8</c:f>
              <c:strCache>
                <c:ptCount val="1"/>
                <c:pt idx="0">
                  <c:v>Деятельность по монтажу, техническому обслуживанию и ремонту средств обеспечения пожарной безопасности зданий и сооружений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786281697914211E-2"/>
                  <c:y val="5.10102736224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097627776038702E-2"/>
                  <c:y val="-5.564757122450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556730390622361E-2"/>
                  <c:y val="4.637297602042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638525161455035E-2"/>
                  <c:y val="-4.6372976020424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52243463540786E-2"/>
                  <c:y val="-3.709838081633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852243463540786E-2"/>
                  <c:y val="-4.6372976020424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408973854163199E-2"/>
                  <c:y val="6.4922166428594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163589541665259E-2"/>
                  <c:y val="-5.564757122450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556730390622361E-2"/>
                  <c:y val="5.564757122450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77-4F64-BBBC-B2030878D03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58194524933259E-16"/>
                  <c:y val="-2.318648801021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C77-4F64-BBBC-B2030878D0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Лицензирование'!$AG$6:$AS$6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'1.21 Лицензирование'!$AG$8:$AS$8</c:f>
              <c:numCache>
                <c:formatCode>General</c:formatCode>
                <c:ptCount val="13"/>
                <c:pt idx="0">
                  <c:v>4923</c:v>
                </c:pt>
                <c:pt idx="1">
                  <c:v>5874</c:v>
                </c:pt>
                <c:pt idx="2">
                  <c:v>5633</c:v>
                </c:pt>
                <c:pt idx="3">
                  <c:v>6153</c:v>
                </c:pt>
                <c:pt idx="4">
                  <c:v>5520</c:v>
                </c:pt>
                <c:pt idx="5">
                  <c:v>4767</c:v>
                </c:pt>
                <c:pt idx="6">
                  <c:v>4174</c:v>
                </c:pt>
                <c:pt idx="7">
                  <c:v>4412</c:v>
                </c:pt>
                <c:pt idx="8">
                  <c:v>4248</c:v>
                </c:pt>
                <c:pt idx="9">
                  <c:v>2701</c:v>
                </c:pt>
                <c:pt idx="10">
                  <c:v>2957</c:v>
                </c:pt>
                <c:pt idx="11">
                  <c:v>3090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C77-4F64-BBBC-B2030878D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132352"/>
        <c:axId val="144159872"/>
      </c:lineChart>
      <c:catAx>
        <c:axId val="14413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159872"/>
        <c:crosses val="autoZero"/>
        <c:auto val="1"/>
        <c:lblAlgn val="ctr"/>
        <c:lblOffset val="100"/>
        <c:noMultiLvlLbl val="0"/>
      </c:catAx>
      <c:valAx>
        <c:axId val="14415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13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Лицензирование'!$D$6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'1.21 Лицензирование'!$D$7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0-468E-872C-7CCC2BEBA305}"/>
            </c:ext>
          </c:extLst>
        </c:ser>
        <c:ser>
          <c:idx val="1"/>
          <c:order val="1"/>
          <c:tx>
            <c:strRef>
              <c:f>'1.21 Лицензирование'!$E$6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'1.21 Лицензирование'!$E$7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0-468E-872C-7CCC2BEBA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456704"/>
        <c:axId val="144458496"/>
      </c:barChart>
      <c:catAx>
        <c:axId val="144456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458496"/>
        <c:crosses val="autoZero"/>
        <c:auto val="1"/>
        <c:lblAlgn val="ctr"/>
        <c:lblOffset val="100"/>
        <c:noMultiLvlLbl val="0"/>
      </c:catAx>
      <c:valAx>
        <c:axId val="1444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4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Лицензирование'!$D$20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Лицензирование'!$C$21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Лицензирование'!$D$21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5-4182-89D2-90294B7DC7CA}"/>
            </c:ext>
          </c:extLst>
        </c:ser>
        <c:ser>
          <c:idx val="1"/>
          <c:order val="1"/>
          <c:tx>
            <c:strRef>
              <c:f>'1.21 Лицензирование'!$E$20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Лицензирование'!$C$21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Лицензирование'!$E$21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25-4182-89D2-90294B7DC7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497280"/>
        <c:axId val="144183680"/>
      </c:barChart>
      <c:catAx>
        <c:axId val="14449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183680"/>
        <c:crosses val="autoZero"/>
        <c:auto val="1"/>
        <c:lblAlgn val="ctr"/>
        <c:lblOffset val="100"/>
        <c:noMultiLvlLbl val="0"/>
      </c:catAx>
      <c:valAx>
        <c:axId val="14418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49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Лицензирование'!$J$6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Лицензирование'!$I$7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Лицензирование'!$J$7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BF-4C41-BCB2-A385B002902A}"/>
            </c:ext>
          </c:extLst>
        </c:ser>
        <c:ser>
          <c:idx val="1"/>
          <c:order val="1"/>
          <c:tx>
            <c:strRef>
              <c:f>'1.21 Лицензирование'!$K$6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Лицензирование'!$I$7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Лицензирование'!$K$7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BF-4C41-BCB2-A385B00290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218368"/>
        <c:axId val="144240640"/>
      </c:barChart>
      <c:catAx>
        <c:axId val="1442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240640"/>
        <c:crosses val="autoZero"/>
        <c:auto val="1"/>
        <c:lblAlgn val="ctr"/>
        <c:lblOffset val="100"/>
        <c:noMultiLvlLbl val="0"/>
      </c:catAx>
      <c:valAx>
        <c:axId val="1442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2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Лицензирование'!$J$20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Лицензирование'!$I$21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Лицензирование'!$J$21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D8-492F-8E01-45ABCBC9DBD9}"/>
            </c:ext>
          </c:extLst>
        </c:ser>
        <c:ser>
          <c:idx val="1"/>
          <c:order val="1"/>
          <c:tx>
            <c:strRef>
              <c:f>'1.21 Лицензирование'!$K$20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Лицензирование'!$I$21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Лицензирование'!$K$21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D8-492F-8E01-45ABCBC9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32672"/>
        <c:axId val="144334208"/>
      </c:barChart>
      <c:catAx>
        <c:axId val="144332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334208"/>
        <c:crosses val="autoZero"/>
        <c:auto val="1"/>
        <c:lblAlgn val="ctr"/>
        <c:lblOffset val="100"/>
        <c:noMultiLvlLbl val="0"/>
      </c:catAx>
      <c:valAx>
        <c:axId val="1443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33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Лицензирование'!$D$34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Лицензирование'!$C$35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Лицензирование'!$D$35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9-4700-AE67-89B78948E1BA}"/>
            </c:ext>
          </c:extLst>
        </c:ser>
        <c:ser>
          <c:idx val="1"/>
          <c:order val="1"/>
          <c:tx>
            <c:strRef>
              <c:f>'1.21 Лицензирование'!$E$34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Лицензирование'!$C$35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Лицензирование'!$E$35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9-4700-AE67-89B78948E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81440"/>
        <c:axId val="144382976"/>
      </c:barChart>
      <c:catAx>
        <c:axId val="1443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382976"/>
        <c:crosses val="autoZero"/>
        <c:auto val="1"/>
        <c:lblAlgn val="ctr"/>
        <c:lblOffset val="100"/>
        <c:noMultiLvlLbl val="0"/>
      </c:catAx>
      <c:valAx>
        <c:axId val="14438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3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Лицензирование'!$D$48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Лицензирование'!$C$49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Лицензирование'!$D$49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C-429C-8C19-49506AE4F4D4}"/>
            </c:ext>
          </c:extLst>
        </c:ser>
        <c:ser>
          <c:idx val="1"/>
          <c:order val="1"/>
          <c:tx>
            <c:strRef>
              <c:f>'1.21 Лицензирование'!$E$48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Лицензирование'!$C$49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Лицензирование'!$E$49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8C-429C-8C19-49506AE4F4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438400"/>
        <c:axId val="144439936"/>
      </c:barChart>
      <c:catAx>
        <c:axId val="144438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439936"/>
        <c:crosses val="autoZero"/>
        <c:auto val="1"/>
        <c:lblAlgn val="ctr"/>
        <c:lblOffset val="100"/>
        <c:noMultiLvlLbl val="0"/>
      </c:catAx>
      <c:valAx>
        <c:axId val="1444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44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Лицензирование'!$J$34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Лицензирование'!$I$35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Лицензирование'!$J$35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F-4D01-9681-FAA3196985A6}"/>
            </c:ext>
          </c:extLst>
        </c:ser>
        <c:ser>
          <c:idx val="1"/>
          <c:order val="1"/>
          <c:tx>
            <c:strRef>
              <c:f>'1.21 Лицензирование'!$K$34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Лицензирование'!$I$35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Лицензирование'!$K$35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EF-4D01-9681-FAA3196985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07200"/>
        <c:axId val="146708736"/>
      </c:barChart>
      <c:catAx>
        <c:axId val="146707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6708736"/>
        <c:crosses val="autoZero"/>
        <c:auto val="1"/>
        <c:lblAlgn val="ctr"/>
        <c:lblOffset val="100"/>
        <c:noMultiLvlLbl val="0"/>
      </c:catAx>
      <c:valAx>
        <c:axId val="146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7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'1.21 Лицензирование'!$J$48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Лицензирование'!$I$49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Лицензирование'!$J$49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30-4A92-B515-B8B4C9552B15}"/>
            </c:ext>
          </c:extLst>
        </c:ser>
        <c:ser>
          <c:idx val="1"/>
          <c:order val="1"/>
          <c:tx>
            <c:strRef>
              <c:f>'1.21 Лицензирование'!$K$48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'1.21 Лицензирование'!$I$49</c:f>
              <c:numCache>
                <c:formatCode>General</c:formatCode>
                <c:ptCount val="1"/>
              </c:numCache>
            </c:numRef>
          </c:cat>
          <c:val>
            <c:numRef>
              <c:f>'1.21 Лицензирование'!$K$49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30-4A92-B515-B8B4C9552B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009920"/>
        <c:axId val="147011456"/>
      </c:barChart>
      <c:catAx>
        <c:axId val="147009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011456"/>
        <c:crosses val="autoZero"/>
        <c:auto val="1"/>
        <c:lblAlgn val="ctr"/>
        <c:lblOffset val="100"/>
        <c:noMultiLvlLbl val="0"/>
      </c:catAx>
      <c:valAx>
        <c:axId val="14701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0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'1.22 ГИМС'!$D$4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ГИМС'!$C$5:$C$6</c:f>
              <c:strCache>
                <c:ptCount val="2"/>
                <c:pt idx="0">
                  <c:v>маломерных судов</c:v>
                </c:pt>
                <c:pt idx="1">
                  <c:v>аттестованных судоводителей, всего</c:v>
                </c:pt>
              </c:strCache>
            </c:strRef>
          </c:cat>
          <c:val>
            <c:numRef>
              <c:f>'1.22 ГИМС'!$D$5:$D$6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A-4A14-A388-626495BFEE60}"/>
            </c:ext>
          </c:extLst>
        </c:ser>
        <c:ser>
          <c:idx val="1"/>
          <c:order val="1"/>
          <c:tx>
            <c:strRef>
              <c:f>'1.22 ГИМС'!$E$4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'[4]1.26 ГИМС'!$C$5:$C$6</c:f>
              <c:strCache>
                <c:ptCount val="2"/>
                <c:pt idx="0">
                  <c:v>маломерных судов</c:v>
                </c:pt>
                <c:pt idx="1">
                  <c:v>аттестованных судоводителей, всего</c:v>
                </c:pt>
              </c:strCache>
            </c:strRef>
          </c:cat>
          <c:val>
            <c:numRef>
              <c:f>'1.22 ГИМС'!$E$5:$E$6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2A-4A14-A388-626495BFE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088128"/>
        <c:axId val="147089664"/>
      </c:barChart>
      <c:catAx>
        <c:axId val="1470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089664"/>
        <c:crosses val="autoZero"/>
        <c:auto val="1"/>
        <c:lblAlgn val="ctr"/>
        <c:lblOffset val="100"/>
        <c:noMultiLvlLbl val="0"/>
      </c:catAx>
      <c:valAx>
        <c:axId val="14708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0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'1.22 ГИМС'!$D$16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ГИМС'!$C$17:$C$21</c:f>
              <c:strCache>
                <c:ptCount val="5"/>
                <c:pt idx="0">
                  <c:v>база (сооружение) для стоянок маломерных судов</c:v>
                </c:pt>
                <c:pt idx="1">
                  <c:v>переправа (кроме паромных переправ), на которых используются маломерные суда</c:v>
                </c:pt>
                <c:pt idx="2">
                  <c:v>пляжей, специально оборудованных  для купания</c:v>
                </c:pt>
                <c:pt idx="3">
                  <c:v>ледовых переправ</c:v>
                </c:pt>
                <c:pt idx="4">
                  <c:v>наплавных мостов за пределами ВВП РФ</c:v>
                </c:pt>
              </c:strCache>
            </c:strRef>
          </c:cat>
          <c:val>
            <c:numRef>
              <c:f>'1.22 ГИМС'!$D$17:$D$21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0-4B7C-B09C-0CB8CD5CE1BE}"/>
            </c:ext>
          </c:extLst>
        </c:ser>
        <c:ser>
          <c:idx val="1"/>
          <c:order val="1"/>
          <c:tx>
            <c:strRef>
              <c:f>'1.22 ГИМС'!$E$16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ГИМС'!$C$17:$C$21</c:f>
              <c:strCache>
                <c:ptCount val="5"/>
                <c:pt idx="0">
                  <c:v>база (сооружение) для стоянок маломерных судов</c:v>
                </c:pt>
                <c:pt idx="1">
                  <c:v>переправа (кроме паромных переправ), на которых используются маломерные суда</c:v>
                </c:pt>
                <c:pt idx="2">
                  <c:v>пляжей, специально оборудованных  для купания</c:v>
                </c:pt>
                <c:pt idx="3">
                  <c:v>ледовых переправ</c:v>
                </c:pt>
                <c:pt idx="4">
                  <c:v>наплавных мостов за пределами ВВП РФ</c:v>
                </c:pt>
              </c:strCache>
            </c:strRef>
          </c:cat>
          <c:val>
            <c:numRef>
              <c:f>'1.22 ГИМС'!$E$17:$E$21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0-4B7C-B09C-0CB8CD5CE1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43680"/>
        <c:axId val="146745216"/>
      </c:barChart>
      <c:catAx>
        <c:axId val="1467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745216"/>
        <c:crosses val="autoZero"/>
        <c:auto val="1"/>
        <c:lblAlgn val="ctr"/>
        <c:lblOffset val="100"/>
        <c:noMultiLvlLbl val="0"/>
      </c:catAx>
      <c:valAx>
        <c:axId val="1467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7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'1.22 ГИМС'!$D$29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ГИМС'!$C$30:$C$32</c:f>
              <c:strCache>
                <c:ptCount val="3"/>
                <c:pt idx="0">
                  <c:v>услуги по регистрации
маломерных судов</c:v>
                </c:pt>
                <c:pt idx="1">
                  <c:v>услуги по аттестации на право управления маломерным судном</c:v>
                </c:pt>
                <c:pt idx="2">
                  <c:v>услуг по свидетельствованию маломерных судов</c:v>
                </c:pt>
              </c:strCache>
            </c:strRef>
          </c:cat>
          <c:val>
            <c:numRef>
              <c:f>'1.22 ГИМС'!$D$30:$D$32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2-49E6-95F5-F834E7FAFAA8}"/>
            </c:ext>
          </c:extLst>
        </c:ser>
        <c:ser>
          <c:idx val="1"/>
          <c:order val="1"/>
          <c:tx>
            <c:strRef>
              <c:f>'1.22 ГИМС'!$E$29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ГИМС'!$C$30:$C$32</c:f>
              <c:strCache>
                <c:ptCount val="3"/>
                <c:pt idx="0">
                  <c:v>услуги по регистрации
маломерных судов</c:v>
                </c:pt>
                <c:pt idx="1">
                  <c:v>услуги по аттестации на право управления маломерным судном</c:v>
                </c:pt>
                <c:pt idx="2">
                  <c:v>услуг по свидетельствованию маломерных судов</c:v>
                </c:pt>
              </c:strCache>
            </c:strRef>
          </c:cat>
          <c:val>
            <c:numRef>
              <c:f>'1.22 ГИМС'!$E$30:$E$32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52-49E6-95F5-F834E7FAFA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809216"/>
        <c:axId val="146810752"/>
      </c:barChart>
      <c:catAx>
        <c:axId val="1468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810752"/>
        <c:crosses val="autoZero"/>
        <c:auto val="1"/>
        <c:lblAlgn val="ctr"/>
        <c:lblOffset val="100"/>
        <c:noMultiLvlLbl val="0"/>
      </c:catAx>
      <c:valAx>
        <c:axId val="1468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8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'1.22 ГИМС'!$D$44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ГИМС'!$C$45:$C$47</c:f>
              <c:strCache>
                <c:ptCount val="3"/>
                <c:pt idx="0">
                  <c:v>нарушений</c:v>
                </c:pt>
                <c:pt idx="1">
                  <c:v>штрафов</c:v>
                </c:pt>
                <c:pt idx="2">
                  <c:v>патрулирований на водных объектах</c:v>
                </c:pt>
              </c:strCache>
            </c:strRef>
          </c:cat>
          <c:val>
            <c:numRef>
              <c:f>'1.22 ГИМС'!$D$45:$D$47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2-4487-88AC-86DC62556C61}"/>
            </c:ext>
          </c:extLst>
        </c:ser>
        <c:ser>
          <c:idx val="1"/>
          <c:order val="1"/>
          <c:tx>
            <c:strRef>
              <c:f>'1.22 ГИМС'!$E$44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'[4]1.26 ГИМС'!$C$45:$C$47</c:f>
              <c:strCache>
                <c:ptCount val="3"/>
                <c:pt idx="0">
                  <c:v>нарушений</c:v>
                </c:pt>
                <c:pt idx="1">
                  <c:v>штрафов</c:v>
                </c:pt>
                <c:pt idx="2">
                  <c:v>патрулирований на водных объектах</c:v>
                </c:pt>
              </c:strCache>
            </c:strRef>
          </c:cat>
          <c:val>
            <c:numRef>
              <c:f>'1.22 ГИМС'!$E$45:$E$47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D2-4487-88AC-86DC62556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849792"/>
        <c:axId val="146851328"/>
      </c:barChart>
      <c:catAx>
        <c:axId val="14684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851328"/>
        <c:crosses val="autoZero"/>
        <c:auto val="1"/>
        <c:lblAlgn val="ctr"/>
        <c:lblOffset val="100"/>
        <c:noMultiLvlLbl val="0"/>
      </c:catAx>
      <c:valAx>
        <c:axId val="14685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84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Чрезвычайное гуманитарное реагирование, ед.</a:t>
            </a:r>
          </a:p>
        </c:rich>
      </c:tx>
      <c:layout>
        <c:manualLayout>
          <c:xMode val="edge"/>
          <c:yMode val="edge"/>
          <c:x val="0.16686811023622047"/>
          <c:y val="3.159557661927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96-4E03-B02F-F53A4A9135D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96-4E03-B02F-F53A4A9135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'1.23 ЧГР'!$D$3:$E$3</c:f>
              <c:strCache>
                <c:ptCount val="2"/>
                <c:pt idx="0">
                  <c:v>2023 г. </c:v>
                </c:pt>
                <c:pt idx="1">
                  <c:v>2024 г.</c:v>
                </c:pt>
              </c:strCache>
            </c:strRef>
          </c:cat>
          <c:val>
            <c:numRef>
              <c:f>'1.23 ЧГР'!$D$10:$E$10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96-4E03-B02F-F53A4A9135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Оказание гуманитарной помощи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'1.24 ГП ДНР ЛНР ХО ЗО'!$D$3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'1.24 ГП ДНР ЛНР ХО ЗО'!$C$4:$C$5</c:f>
              <c:strCache>
                <c:ptCount val="2"/>
                <c:pt idx="0">
                  <c:v>Развернуто действующих пункты временного размещения</c:v>
                </c:pt>
                <c:pt idx="1">
                  <c:v>Количество размещенных человек</c:v>
                </c:pt>
              </c:strCache>
            </c:strRef>
          </c:cat>
          <c:val>
            <c:numRef>
              <c:f>'1.24 ГП ДНР ЛНР ХО ЗО'!$D$4:$D$5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A2-4BFC-B0C4-A02357553A2F}"/>
            </c:ext>
          </c:extLst>
        </c:ser>
        <c:ser>
          <c:idx val="1"/>
          <c:order val="1"/>
          <c:tx>
            <c:strRef>
              <c:f>'1.24 ГП ДНР ЛНР ХО ЗО'!$E$3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'1.24 ГП ДНР ЛНР ХО ЗО'!$C$4:$C$5</c:f>
              <c:strCache>
                <c:ptCount val="2"/>
                <c:pt idx="0">
                  <c:v>Развернуто действующих пункты временного размещения</c:v>
                </c:pt>
                <c:pt idx="1">
                  <c:v>Количество размещенных человек</c:v>
                </c:pt>
              </c:strCache>
            </c:strRef>
          </c:cat>
          <c:val>
            <c:numRef>
              <c:f>'1.24 ГП ДНР ЛНР ХО ЗО'!$E$4:$E$5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A2-4BFC-B0C4-A02357553A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71872"/>
        <c:axId val="108281856"/>
      </c:barChart>
      <c:catAx>
        <c:axId val="1082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8281856"/>
        <c:crosses val="autoZero"/>
        <c:auto val="1"/>
        <c:lblAlgn val="ctr"/>
        <c:lblOffset val="100"/>
        <c:noMultiLvlLbl val="0"/>
      </c:catAx>
      <c:valAx>
        <c:axId val="10828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82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Оказание гуманитарной помощи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'1.24 ГП ДНР ЛНР ХО ЗО'!$D$14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'1.24 ГП ДНР ЛНР ХО ЗО'!$C$15:$C$17</c:f>
              <c:strCache>
                <c:ptCount val="3"/>
                <c:pt idx="0">
                  <c:v>колонн МЧС России</c:v>
                </c:pt>
                <c:pt idx="1">
                  <c:v>привлечено человек</c:v>
                </c:pt>
                <c:pt idx="2">
                  <c:v>единиц техники</c:v>
                </c:pt>
              </c:strCache>
            </c:strRef>
          </c:cat>
          <c:val>
            <c:numRef>
              <c:f>'1.24 ГП ДНР ЛНР ХО ЗО'!$D$15:$D$17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3-4C68-BF74-FF260A6208E0}"/>
            </c:ext>
          </c:extLst>
        </c:ser>
        <c:ser>
          <c:idx val="1"/>
          <c:order val="1"/>
          <c:tx>
            <c:strRef>
              <c:f>'1.24 ГП ДНР ЛНР ХО ЗО'!$E$14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'1.24 ГП ДНР ЛНР ХО ЗО'!$C$15:$C$17</c:f>
              <c:strCache>
                <c:ptCount val="3"/>
                <c:pt idx="0">
                  <c:v>колонн МЧС России</c:v>
                </c:pt>
                <c:pt idx="1">
                  <c:v>привлечено человек</c:v>
                </c:pt>
                <c:pt idx="2">
                  <c:v>единиц техники</c:v>
                </c:pt>
              </c:strCache>
            </c:strRef>
          </c:cat>
          <c:val>
            <c:numRef>
              <c:f>'1.24 ГП ДНР ЛНР ХО ЗО'!$E$15:$E$17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63-4C68-BF74-FF260A620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28160"/>
        <c:axId val="129368064"/>
      </c:barChart>
      <c:catAx>
        <c:axId val="1144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29368064"/>
        <c:crosses val="autoZero"/>
        <c:auto val="1"/>
        <c:lblAlgn val="ctr"/>
        <c:lblOffset val="100"/>
        <c:noMultiLvlLbl val="0"/>
      </c:catAx>
      <c:valAx>
        <c:axId val="1293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44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'1.25 авиац-е обесп-е'!$C$3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обесп-е'!$B$4:$B$6</c:f>
              <c:strCache>
                <c:ptCount val="3"/>
                <c:pt idx="0">
                  <c:v>Полетов</c:v>
                </c:pt>
                <c:pt idx="1">
                  <c:v>Общий налет, ч</c:v>
                </c:pt>
                <c:pt idx="2">
                  <c:v>Рейсов санитарной эвакуации</c:v>
                </c:pt>
              </c:strCache>
            </c:strRef>
          </c:cat>
          <c:val>
            <c:numRef>
              <c:f>'1.25 авиац-е обесп-е'!$C$4:$C$6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84-437A-859E-2847AA99A2EE}"/>
            </c:ext>
          </c:extLst>
        </c:ser>
        <c:ser>
          <c:idx val="1"/>
          <c:order val="1"/>
          <c:tx>
            <c:strRef>
              <c:f>'1.25 авиац-е обесп-е'!$D$3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обесп-е'!$B$4:$B$6</c:f>
              <c:strCache>
                <c:ptCount val="3"/>
                <c:pt idx="0">
                  <c:v>Полетов</c:v>
                </c:pt>
                <c:pt idx="1">
                  <c:v>Общий налет, ч</c:v>
                </c:pt>
                <c:pt idx="2">
                  <c:v>Рейсов санитарной эвакуации</c:v>
                </c:pt>
              </c:strCache>
            </c:strRef>
          </c:cat>
          <c:val>
            <c:numRef>
              <c:f>'1.25 авиац-е обесп-е'!$D$4:$D$6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84-437A-859E-2847AA99A2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223296"/>
        <c:axId val="147224832"/>
      </c:barChart>
      <c:catAx>
        <c:axId val="14722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224832"/>
        <c:crosses val="autoZero"/>
        <c:auto val="1"/>
        <c:lblAlgn val="ctr"/>
        <c:lblOffset val="100"/>
        <c:noMultiLvlLbl val="0"/>
      </c:catAx>
      <c:valAx>
        <c:axId val="1472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22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Доставлено человек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'1.25 авиац-е обесп-е'!$C$3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обесп-е'!$B$8:$B$11</c:f>
              <c:strCache>
                <c:ptCount val="4"/>
                <c:pt idx="0">
                  <c:v>        человек по задачам МЧС России</c:v>
                </c:pt>
                <c:pt idx="1">
                  <c:v>        человек для ликвидации пожаров</c:v>
                </c:pt>
                <c:pt idx="2">
                  <c:v>       человек для ликвидации паводков</c:v>
                </c:pt>
                <c:pt idx="3">
                  <c:v>       человек для ликвидации ЧС</c:v>
                </c:pt>
              </c:strCache>
            </c:strRef>
          </c:cat>
          <c:val>
            <c:numRef>
              <c:f>'1.25 авиац-е обесп-е'!$C$8:$C$11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9-4B8F-8465-440C62FE9A9D}"/>
            </c:ext>
          </c:extLst>
        </c:ser>
        <c:ser>
          <c:idx val="1"/>
          <c:order val="1"/>
          <c:tx>
            <c:strRef>
              <c:f>'1.25 авиац-е обесп-е'!$D$3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обесп-е'!$B$8:$B$11</c:f>
              <c:strCache>
                <c:ptCount val="4"/>
                <c:pt idx="0">
                  <c:v>        человек по задачам МЧС России</c:v>
                </c:pt>
                <c:pt idx="1">
                  <c:v>        человек для ликвидации пожаров</c:v>
                </c:pt>
                <c:pt idx="2">
                  <c:v>       человек для ликвидации паводков</c:v>
                </c:pt>
                <c:pt idx="3">
                  <c:v>       человек для ликвидации ЧС</c:v>
                </c:pt>
              </c:strCache>
            </c:strRef>
          </c:cat>
          <c:val>
            <c:numRef>
              <c:f>'1.25 авиац-е обесп-е'!$D$8:$D$11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A9-4B8F-8465-440C62FE9A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284736"/>
        <c:axId val="147286272"/>
      </c:barChart>
      <c:catAx>
        <c:axId val="1472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286272"/>
        <c:crosses val="autoZero"/>
        <c:auto val="1"/>
        <c:lblAlgn val="ctr"/>
        <c:lblOffset val="100"/>
        <c:noMultiLvlLbl val="0"/>
      </c:catAx>
      <c:valAx>
        <c:axId val="14728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28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'1.25 авиац-е обесп-е'!$C$3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'1.25 авиац-е обесп-е'!$C$12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CB-4A89-BFE9-69C6AA1420CC}"/>
            </c:ext>
          </c:extLst>
        </c:ser>
        <c:ser>
          <c:idx val="1"/>
          <c:order val="1"/>
          <c:tx>
            <c:strRef>
              <c:f>'1.25 авиац-е обесп-е'!$D$3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'1.25 авиац-е обесп-е'!$D$12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CB-4A89-BFE9-69C6AA142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460864"/>
        <c:axId val="147462784"/>
      </c:barChart>
      <c:catAx>
        <c:axId val="1474608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/>
                  <a:t>Доставлено грузов, 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47462784"/>
        <c:crosses val="autoZero"/>
        <c:auto val="1"/>
        <c:lblAlgn val="ctr"/>
        <c:lblOffset val="100"/>
        <c:noMultiLvlLbl val="0"/>
      </c:catAx>
      <c:valAx>
        <c:axId val="1474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4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'1.25 авиац-е обесп-е'!$C$18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обесп-е'!$B$19:$B$20</c:f>
              <c:strCache>
                <c:ptCount val="2"/>
                <c:pt idx="0">
                  <c:v>сливов, ед.</c:v>
                </c:pt>
                <c:pt idx="1">
                  <c:v>воды, т</c:v>
                </c:pt>
              </c:strCache>
            </c:strRef>
          </c:cat>
          <c:val>
            <c:numRef>
              <c:f>'1.25 авиац-е обесп-е'!$C$19:$C$20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B0-4CE8-A8CC-F6DC6AEDD8C3}"/>
            </c:ext>
          </c:extLst>
        </c:ser>
        <c:ser>
          <c:idx val="1"/>
          <c:order val="1"/>
          <c:tx>
            <c:strRef>
              <c:f>'1.25 авиац-е обесп-е'!$D$18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обесп-е'!$B$19:$B$20</c:f>
              <c:strCache>
                <c:ptCount val="2"/>
                <c:pt idx="0">
                  <c:v>сливов, ед.</c:v>
                </c:pt>
                <c:pt idx="1">
                  <c:v>воды, т</c:v>
                </c:pt>
              </c:strCache>
            </c:strRef>
          </c:cat>
          <c:val>
            <c:numRef>
              <c:f>'1.25 авиац-е обесп-е'!$D$19:$D$20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B0-4CE8-A8CC-F6DC6AEDD8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514112"/>
        <c:axId val="147515648"/>
      </c:barChart>
      <c:catAx>
        <c:axId val="1475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515648"/>
        <c:crosses val="autoZero"/>
        <c:auto val="1"/>
        <c:lblAlgn val="ctr"/>
        <c:lblOffset val="100"/>
        <c:noMultiLvlLbl val="0"/>
      </c:catAx>
      <c:valAx>
        <c:axId val="1475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75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5244709630198"/>
          <c:y val="5.0730213673335918E-2"/>
          <c:w val="0.85304755290369805"/>
          <c:h val="0.4251605881799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'1.25 авиац-е обесп-е'!$C$27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обесп-е'!$B$28:$B$29</c:f>
              <c:strCache>
                <c:ptCount val="2"/>
                <c:pt idx="0">
                  <c:v>авиационно-спасательная компания</c:v>
                </c:pt>
                <c:pt idx="1">
                  <c:v>авиационно-спасательных центров </c:v>
                </c:pt>
              </c:strCache>
            </c:strRef>
          </c:cat>
          <c:val>
            <c:numRef>
              <c:f>'1.25 авиац-е обесп-е'!$C$28:$C$29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5-404D-AC6F-302A4C79D45F}"/>
            </c:ext>
          </c:extLst>
        </c:ser>
        <c:ser>
          <c:idx val="1"/>
          <c:order val="1"/>
          <c:tx>
            <c:strRef>
              <c:f>'1.25 авиац-е обесп-е'!$D$27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обесп-е'!$B$28:$B$29</c:f>
              <c:strCache>
                <c:ptCount val="2"/>
                <c:pt idx="0">
                  <c:v>авиационно-спасательная компания</c:v>
                </c:pt>
                <c:pt idx="1">
                  <c:v>авиационно-спасательных центров </c:v>
                </c:pt>
              </c:strCache>
            </c:strRef>
          </c:cat>
          <c:val>
            <c:numRef>
              <c:f>'1.25 авиац-е обесп-е'!$D$28:$D$29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35-404D-AC6F-302A4C79D4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913984"/>
        <c:axId val="149915520"/>
      </c:barChart>
      <c:catAx>
        <c:axId val="1499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9915520"/>
        <c:crosses val="autoZero"/>
        <c:auto val="1"/>
        <c:lblAlgn val="ctr"/>
        <c:lblOffset val="100"/>
        <c:noMultiLvlLbl val="0"/>
      </c:catAx>
      <c:valAx>
        <c:axId val="1499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991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57398664695339"/>
          <c:y val="0.91509371171939258"/>
          <c:w val="0.26855504289217508"/>
          <c:h val="8.490628828060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95244709630198"/>
          <c:y val="5.0730213673335918E-2"/>
          <c:w val="0.85304755290369805"/>
          <c:h val="0.4251605881799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'1.25 авиац-е обесп-е'!$C$44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обесп-е'!$B$45:$B$46</c:f>
              <c:strCache>
                <c:ptCount val="2"/>
                <c:pt idx="0">
                  <c:v>          самолетов</c:v>
                </c:pt>
                <c:pt idx="1">
                  <c:v>          вертолетов</c:v>
                </c:pt>
              </c:strCache>
            </c:strRef>
          </c:cat>
          <c:val>
            <c:numRef>
              <c:f>'1.25 авиац-е обесп-е'!$C$45:$C$46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5-404D-AC6F-302A4C79D45F}"/>
            </c:ext>
          </c:extLst>
        </c:ser>
        <c:ser>
          <c:idx val="1"/>
          <c:order val="1"/>
          <c:tx>
            <c:strRef>
              <c:f>'1.25 авиац-е обесп-е'!$D$44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'1.25 авиац-е обесп-е'!$B$45:$B$46</c:f>
              <c:strCache>
                <c:ptCount val="2"/>
                <c:pt idx="0">
                  <c:v>          самолетов</c:v>
                </c:pt>
                <c:pt idx="1">
                  <c:v>          вертолетов</c:v>
                </c:pt>
              </c:strCache>
            </c:strRef>
          </c:cat>
          <c:val>
            <c:numRef>
              <c:f>'1.25 авиац-е обесп-е'!$D$45:$D$46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35-404D-AC6F-302A4C79D4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224896"/>
        <c:axId val="150226432"/>
      </c:barChart>
      <c:catAx>
        <c:axId val="1502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226432"/>
        <c:crosses val="autoZero"/>
        <c:auto val="1"/>
        <c:lblAlgn val="ctr"/>
        <c:lblOffset val="100"/>
        <c:noMultiLvlLbl val="0"/>
      </c:catAx>
      <c:valAx>
        <c:axId val="1502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22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57398664695339"/>
          <c:y val="0.91509371171939258"/>
          <c:w val="0.26855504289217508"/>
          <c:h val="8.490628828060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'1.26 БАС'!$C$2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'1.26 БАС'!$B$3:$B$5</c:f>
              <c:strCache>
                <c:ptCount val="3"/>
                <c:pt idx="0">
                  <c:v>выполнено полетов, ед.</c:v>
                </c:pt>
                <c:pt idx="1">
                  <c:v>общий налет, ч</c:v>
                </c:pt>
                <c:pt idx="2">
                  <c:v>применений по предназначению (в том числе УТП), ед.</c:v>
                </c:pt>
              </c:strCache>
            </c:strRef>
          </c:cat>
          <c:val>
            <c:numRef>
              <c:f>'1.26 БАС'!$C$3:$C$5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3-47C1-A3EB-649732A13153}"/>
            </c:ext>
          </c:extLst>
        </c:ser>
        <c:ser>
          <c:idx val="1"/>
          <c:order val="1"/>
          <c:tx>
            <c:strRef>
              <c:f>'1.26 БАС'!$D$2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'1.26 БАС'!$B$3:$B$5</c:f>
              <c:strCache>
                <c:ptCount val="3"/>
                <c:pt idx="0">
                  <c:v>выполнено полетов, ед.</c:v>
                </c:pt>
                <c:pt idx="1">
                  <c:v>общий налет, ч</c:v>
                </c:pt>
                <c:pt idx="2">
                  <c:v>применений по предназначению (в том числе УТП), ед.</c:v>
                </c:pt>
              </c:strCache>
            </c:strRef>
          </c:cat>
          <c:val>
            <c:numRef>
              <c:f>'1.26 БАС'!$D$3:$D$5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43-47C1-A3EB-649732A131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306816"/>
        <c:axId val="150308352"/>
      </c:barChart>
      <c:catAx>
        <c:axId val="15030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308352"/>
        <c:crosses val="autoZero"/>
        <c:auto val="1"/>
        <c:lblAlgn val="ctr"/>
        <c:lblOffset val="100"/>
        <c:noMultiLvlLbl val="0"/>
      </c:catAx>
      <c:valAx>
        <c:axId val="1503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30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'1.26 БАС'!$C$14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'[5]1.30 БАС'!$B$15:$B$24</c:f>
              <c:strCache>
                <c:ptCount val="10"/>
                <c:pt idx="0">
                  <c:v>для ликвидации ЧС</c:v>
                </c:pt>
                <c:pt idx="1">
                  <c:v>для авиационного сопровождения подтоплений (затоплений)</c:v>
                </c:pt>
                <c:pt idx="2">
                  <c:v>для авиационного сопровождения техногенных пожаров</c:v>
                </c:pt>
                <c:pt idx="3">
                  <c:v>для проведения поисково-
спасательных работ</c:v>
                </c:pt>
                <c:pt idx="4">
                  <c:v>для иных целей (межведомственное взаимодействие)</c:v>
                </c:pt>
                <c:pt idx="5">
                  <c:v>для мониторинга паводковой обстановки и водных объектов</c:v>
                </c:pt>
                <c:pt idx="6">
                  <c:v>для мониторинга лесопожарной обстановки</c:v>
                </c:pt>
                <c:pt idx="7">
                  <c:v>для КШУ, КШТ, ПТУ</c:v>
                </c:pt>
                <c:pt idx="8">
                  <c:v>для построения ортофотопланов</c:v>
                </c:pt>
                <c:pt idx="9">
                  <c:v>для мониторинга ледовой обстановки, автодорог, мест купания и выхода людей на лёд
и т.д.</c:v>
                </c:pt>
              </c:strCache>
            </c:strRef>
          </c:cat>
          <c:val>
            <c:numRef>
              <c:f>'1.26 БАС'!$C$15:$C$24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B9-45E3-9A8D-2AA36BCF54E0}"/>
            </c:ext>
          </c:extLst>
        </c:ser>
        <c:ser>
          <c:idx val="1"/>
          <c:order val="1"/>
          <c:tx>
            <c:strRef>
              <c:f>'1.26 БАС'!$D$14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'[5]1.30 БАС'!$B$15:$B$24</c:f>
              <c:strCache>
                <c:ptCount val="10"/>
                <c:pt idx="0">
                  <c:v>для ликвидации ЧС</c:v>
                </c:pt>
                <c:pt idx="1">
                  <c:v>для авиационного сопровождения подтоплений (затоплений)</c:v>
                </c:pt>
                <c:pt idx="2">
                  <c:v>для авиационного сопровождения техногенных пожаров</c:v>
                </c:pt>
                <c:pt idx="3">
                  <c:v>для проведения поисково-
спасательных работ</c:v>
                </c:pt>
                <c:pt idx="4">
                  <c:v>для иных целей (межведомственное взаимодействие)</c:v>
                </c:pt>
                <c:pt idx="5">
                  <c:v>для мониторинга паводковой обстановки и водных объектов</c:v>
                </c:pt>
                <c:pt idx="6">
                  <c:v>для мониторинга лесопожарной обстановки</c:v>
                </c:pt>
                <c:pt idx="7">
                  <c:v>для КШУ, КШТ, ПТУ</c:v>
                </c:pt>
                <c:pt idx="8">
                  <c:v>для построения ортофотопланов</c:v>
                </c:pt>
                <c:pt idx="9">
                  <c:v>для мониторинга ледовой обстановки, автодорог, мест купания и выхода людей на лёд
и т.д.</c:v>
                </c:pt>
              </c:strCache>
            </c:strRef>
          </c:cat>
          <c:val>
            <c:numRef>
              <c:f>'1.26 БАС'!$D$15:$D$24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B9-45E3-9A8D-2AA36BCF54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015360"/>
        <c:axId val="150025344"/>
      </c:barChart>
      <c:catAx>
        <c:axId val="1500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025344"/>
        <c:crosses val="autoZero"/>
        <c:auto val="1"/>
        <c:lblAlgn val="ctr"/>
        <c:lblOffset val="100"/>
        <c:noMultiLvlLbl val="0"/>
      </c:catAx>
      <c:valAx>
        <c:axId val="1500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01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'1.26 БАС'!$C$31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rgbClr val="E6A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'[5]1.30 БАС'!$B$32:$B$35</c:f>
              <c:strCache>
                <c:ptCount val="4"/>
                <c:pt idx="0">
                  <c:v>беспилотных авиационных систем на вооружении МЧС России </c:v>
                </c:pt>
                <c:pt idx="1">
                  <c:v>самолетного типа </c:v>
                </c:pt>
                <c:pt idx="2">
                  <c:v>вертолетного типа </c:v>
                </c:pt>
                <c:pt idx="3">
                  <c:v>комбинированного типа </c:v>
                </c:pt>
              </c:strCache>
            </c:strRef>
          </c:cat>
          <c:val>
            <c:numRef>
              <c:f>'1.26 БАС'!$C$32:$C$35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B7-40F0-83F8-7B99C32A25E9}"/>
            </c:ext>
          </c:extLst>
        </c:ser>
        <c:ser>
          <c:idx val="1"/>
          <c:order val="1"/>
          <c:tx>
            <c:strRef>
              <c:f>'1.26 БАС'!$D$31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'[5]1.30 БАС'!$B$32:$B$35</c:f>
              <c:strCache>
                <c:ptCount val="4"/>
                <c:pt idx="0">
                  <c:v>беспилотных авиационных систем на вооружении МЧС России </c:v>
                </c:pt>
                <c:pt idx="1">
                  <c:v>самолетного типа </c:v>
                </c:pt>
                <c:pt idx="2">
                  <c:v>вертолетного типа </c:v>
                </c:pt>
                <c:pt idx="3">
                  <c:v>комбинированного типа </c:v>
                </c:pt>
              </c:strCache>
            </c:strRef>
          </c:cat>
          <c:val>
            <c:numRef>
              <c:f>'1.26 БАС'!$D$32:$D$35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B7-40F0-83F8-7B99C32A25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060032"/>
        <c:axId val="150065920"/>
      </c:barChart>
      <c:catAx>
        <c:axId val="1500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065920"/>
        <c:crosses val="autoZero"/>
        <c:auto val="1"/>
        <c:lblAlgn val="ctr"/>
        <c:lblOffset val="100"/>
        <c:noMultiLvlLbl val="0"/>
      </c:catAx>
      <c:valAx>
        <c:axId val="1500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06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'1.28 Показатель ЗН от ЧС'!$B$17</c:f>
              <c:strCache>
                <c:ptCount val="1"/>
                <c:pt idx="0">
                  <c:v>ср. индивидуальный риск пожары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0592020592020591E-2"/>
                  <c:y val="1.963993453355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B21-465C-A6E9-07F042434F3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9172029172029171E-2"/>
                  <c:y val="-1.636661211129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21-465C-A6E9-07F042434F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'1.28 Показатель ЗН от ЧС'!$C$16:$W$16</c:f>
              <c:strCache>
                <c:ptCount val="21"/>
                <c:pt idx="0">
                  <c:v>2004 г.</c:v>
                </c:pt>
                <c:pt idx="1">
                  <c:v>2005 г.</c:v>
                </c:pt>
                <c:pt idx="2">
                  <c:v>2006 г.</c:v>
                </c:pt>
                <c:pt idx="3">
                  <c:v>2007 г.</c:v>
                </c:pt>
                <c:pt idx="4">
                  <c:v>2008 г.</c:v>
                </c:pt>
                <c:pt idx="5">
                  <c:v>2009 г.</c:v>
                </c:pt>
                <c:pt idx="6">
                  <c:v>2010 г.</c:v>
                </c:pt>
                <c:pt idx="7">
                  <c:v>2011 г.</c:v>
                </c:pt>
                <c:pt idx="8">
                  <c:v>2012 г.</c:v>
                </c:pt>
                <c:pt idx="9">
                  <c:v>2013 г.</c:v>
                </c:pt>
                <c:pt idx="10">
                  <c:v>2014 г.</c:v>
                </c:pt>
                <c:pt idx="11">
                  <c:v>2015 г.</c:v>
                </c:pt>
                <c:pt idx="12">
                  <c:v>2016 г.</c:v>
                </c:pt>
                <c:pt idx="13">
                  <c:v>2017 г.</c:v>
                </c:pt>
                <c:pt idx="14">
                  <c:v>2018 г.</c:v>
                </c:pt>
                <c:pt idx="15">
                  <c:v>2019 г.</c:v>
                </c:pt>
                <c:pt idx="16">
                  <c:v>2020 г.</c:v>
                </c:pt>
                <c:pt idx="17">
                  <c:v>2021 г.</c:v>
                </c:pt>
                <c:pt idx="18">
                  <c:v>2022 г.</c:v>
                </c:pt>
                <c:pt idx="19">
                  <c:v>2023 г.</c:v>
                </c:pt>
                <c:pt idx="20">
                  <c:v>2024 г.</c:v>
                </c:pt>
              </c:strCache>
            </c:strRef>
          </c:cat>
          <c:val>
            <c:numRef>
              <c:f>'1.28 Показатель ЗН от ЧС'!$C$18:$W$18</c:f>
              <c:numCache>
                <c:formatCode>General</c:formatCode>
                <c:ptCount val="21"/>
                <c:pt idx="0">
                  <c:v>1</c:v>
                </c:pt>
                <c:pt idx="1">
                  <c:v>0.72</c:v>
                </c:pt>
                <c:pt idx="2">
                  <c:v>1.3</c:v>
                </c:pt>
                <c:pt idx="3">
                  <c:v>0.75</c:v>
                </c:pt>
                <c:pt idx="4">
                  <c:v>0.63</c:v>
                </c:pt>
                <c:pt idx="5">
                  <c:v>0.6</c:v>
                </c:pt>
                <c:pt idx="6">
                  <c:v>0.54</c:v>
                </c:pt>
                <c:pt idx="7">
                  <c:v>0.63</c:v>
                </c:pt>
                <c:pt idx="8">
                  <c:v>0.64</c:v>
                </c:pt>
                <c:pt idx="9">
                  <c:v>0.49</c:v>
                </c:pt>
                <c:pt idx="10">
                  <c:v>0.44</c:v>
                </c:pt>
                <c:pt idx="11">
                  <c:v>0.51</c:v>
                </c:pt>
                <c:pt idx="12">
                  <c:v>0.6</c:v>
                </c:pt>
                <c:pt idx="13">
                  <c:v>0.44</c:v>
                </c:pt>
                <c:pt idx="14">
                  <c:v>0.63</c:v>
                </c:pt>
                <c:pt idx="15">
                  <c:v>0.39</c:v>
                </c:pt>
                <c:pt idx="16">
                  <c:v>0.23</c:v>
                </c:pt>
                <c:pt idx="17">
                  <c:v>0.28000000000000003</c:v>
                </c:pt>
                <c:pt idx="18">
                  <c:v>0.13</c:v>
                </c:pt>
                <c:pt idx="19">
                  <c:v>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21-465C-A6E9-07F042434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357504"/>
        <c:axId val="150364544"/>
      </c:lineChart>
      <c:catAx>
        <c:axId val="1503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364544"/>
        <c:crosses val="autoZero"/>
        <c:auto val="1"/>
        <c:lblAlgn val="ctr"/>
        <c:lblOffset val="100"/>
        <c:noMultiLvlLbl val="0"/>
      </c:catAx>
      <c:valAx>
        <c:axId val="1503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3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'1.28 Показатель ЗН от ЧС'!$B$18</c:f>
              <c:strCache>
                <c:ptCount val="1"/>
                <c:pt idx="0">
                  <c:v>ср. индивидуальный риск ЧС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5729221347331594E-2"/>
                  <c:y val="1.1608705161854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4D-4E91-B3E0-580DBEE60A5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395888013998251E-2"/>
                  <c:y val="-2.0798702245552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4D-4E91-B3E0-580DBEE60A5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29221347331589E-2"/>
                  <c:y val="1.1608705161854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4D-4E91-B3E0-580DBEE60A5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395888013998251E-2"/>
                  <c:y val="-3.468759113444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24D-4E91-B3E0-580DBEE60A5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395888013998249E-2"/>
                  <c:y val="3.475685331000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24D-4E91-B3E0-580DBEE60A5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506999125109411E-2"/>
                  <c:y val="-3.468759113444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24D-4E91-B3E0-580DBEE60A5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395888013998353E-2"/>
                  <c:y val="-5.7835739282589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24D-4E91-B3E0-580DBEE60A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'1.28 Показатель ЗН от ЧС'!$C$16:$W$16</c:f>
              <c:strCache>
                <c:ptCount val="21"/>
                <c:pt idx="0">
                  <c:v>2004 г.</c:v>
                </c:pt>
                <c:pt idx="1">
                  <c:v>2005 г.</c:v>
                </c:pt>
                <c:pt idx="2">
                  <c:v>2006 г.</c:v>
                </c:pt>
                <c:pt idx="3">
                  <c:v>2007 г.</c:v>
                </c:pt>
                <c:pt idx="4">
                  <c:v>2008 г.</c:v>
                </c:pt>
                <c:pt idx="5">
                  <c:v>2009 г.</c:v>
                </c:pt>
                <c:pt idx="6">
                  <c:v>2010 г.</c:v>
                </c:pt>
                <c:pt idx="7">
                  <c:v>2011 г.</c:v>
                </c:pt>
                <c:pt idx="8">
                  <c:v>2012 г.</c:v>
                </c:pt>
                <c:pt idx="9">
                  <c:v>2013 г.</c:v>
                </c:pt>
                <c:pt idx="10">
                  <c:v>2014 г.</c:v>
                </c:pt>
                <c:pt idx="11">
                  <c:v>2015 г.</c:v>
                </c:pt>
                <c:pt idx="12">
                  <c:v>2016 г.</c:v>
                </c:pt>
                <c:pt idx="13">
                  <c:v>2017 г.</c:v>
                </c:pt>
                <c:pt idx="14">
                  <c:v>2018 г.</c:v>
                </c:pt>
                <c:pt idx="15">
                  <c:v>2019 г.</c:v>
                </c:pt>
                <c:pt idx="16">
                  <c:v>2020 г.</c:v>
                </c:pt>
                <c:pt idx="17">
                  <c:v>2021 г.</c:v>
                </c:pt>
                <c:pt idx="18">
                  <c:v>2022 г.</c:v>
                </c:pt>
                <c:pt idx="19">
                  <c:v>2023 г.</c:v>
                </c:pt>
                <c:pt idx="20">
                  <c:v>2024 г.</c:v>
                </c:pt>
              </c:strCache>
            </c:strRef>
          </c:cat>
          <c:val>
            <c:numRef>
              <c:f>'1.28 Показатель ЗН от ЧС'!$C$18:$W$18</c:f>
              <c:numCache>
                <c:formatCode>General</c:formatCode>
                <c:ptCount val="21"/>
                <c:pt idx="0">
                  <c:v>1</c:v>
                </c:pt>
                <c:pt idx="1">
                  <c:v>0.72</c:v>
                </c:pt>
                <c:pt idx="2">
                  <c:v>1.3</c:v>
                </c:pt>
                <c:pt idx="3">
                  <c:v>0.75</c:v>
                </c:pt>
                <c:pt idx="4">
                  <c:v>0.63</c:v>
                </c:pt>
                <c:pt idx="5">
                  <c:v>0.6</c:v>
                </c:pt>
                <c:pt idx="6">
                  <c:v>0.54</c:v>
                </c:pt>
                <c:pt idx="7">
                  <c:v>0.63</c:v>
                </c:pt>
                <c:pt idx="8">
                  <c:v>0.64</c:v>
                </c:pt>
                <c:pt idx="9">
                  <c:v>0.49</c:v>
                </c:pt>
                <c:pt idx="10">
                  <c:v>0.44</c:v>
                </c:pt>
                <c:pt idx="11">
                  <c:v>0.51</c:v>
                </c:pt>
                <c:pt idx="12">
                  <c:v>0.6</c:v>
                </c:pt>
                <c:pt idx="13">
                  <c:v>0.44</c:v>
                </c:pt>
                <c:pt idx="14">
                  <c:v>0.63</c:v>
                </c:pt>
                <c:pt idx="15">
                  <c:v>0.39</c:v>
                </c:pt>
                <c:pt idx="16">
                  <c:v>0.23</c:v>
                </c:pt>
                <c:pt idx="17">
                  <c:v>0.28000000000000003</c:v>
                </c:pt>
                <c:pt idx="18">
                  <c:v>0.13</c:v>
                </c:pt>
                <c:pt idx="19">
                  <c:v>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4D-4E91-B3E0-580DBEE60A5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394752"/>
        <c:axId val="150409984"/>
      </c:lineChart>
      <c:catAx>
        <c:axId val="1503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409984"/>
        <c:crosses val="autoZero"/>
        <c:auto val="1"/>
        <c:lblAlgn val="ctr"/>
        <c:lblOffset val="100"/>
        <c:noMultiLvlLbl val="0"/>
      </c:catAx>
      <c:valAx>
        <c:axId val="15040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39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'1.28 Показатель ЗН от ЧС'!$B$19</c:f>
              <c:strCache>
                <c:ptCount val="1"/>
                <c:pt idx="0">
                  <c:v>ср. индивидуальный риск водный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'1.28 Показатель ЗН от ЧС'!$C$16:$W$16</c:f>
              <c:strCache>
                <c:ptCount val="21"/>
                <c:pt idx="0">
                  <c:v>2004 г.</c:v>
                </c:pt>
                <c:pt idx="1">
                  <c:v>2005 г.</c:v>
                </c:pt>
                <c:pt idx="2">
                  <c:v>2006 г.</c:v>
                </c:pt>
                <c:pt idx="3">
                  <c:v>2007 г.</c:v>
                </c:pt>
                <c:pt idx="4">
                  <c:v>2008 г.</c:v>
                </c:pt>
                <c:pt idx="5">
                  <c:v>2009 г.</c:v>
                </c:pt>
                <c:pt idx="6">
                  <c:v>2010 г.</c:v>
                </c:pt>
                <c:pt idx="7">
                  <c:v>2011 г.</c:v>
                </c:pt>
                <c:pt idx="8">
                  <c:v>2012 г.</c:v>
                </c:pt>
                <c:pt idx="9">
                  <c:v>2013 г.</c:v>
                </c:pt>
                <c:pt idx="10">
                  <c:v>2014 г.</c:v>
                </c:pt>
                <c:pt idx="11">
                  <c:v>2015 г.</c:v>
                </c:pt>
                <c:pt idx="12">
                  <c:v>2016 г.</c:v>
                </c:pt>
                <c:pt idx="13">
                  <c:v>2017 г.</c:v>
                </c:pt>
                <c:pt idx="14">
                  <c:v>2018 г.</c:v>
                </c:pt>
                <c:pt idx="15">
                  <c:v>2019 г.</c:v>
                </c:pt>
                <c:pt idx="16">
                  <c:v>2020 г.</c:v>
                </c:pt>
                <c:pt idx="17">
                  <c:v>2021 г.</c:v>
                </c:pt>
                <c:pt idx="18">
                  <c:v>2022 г.</c:v>
                </c:pt>
                <c:pt idx="19">
                  <c:v>2023 г.</c:v>
                </c:pt>
                <c:pt idx="20">
                  <c:v>2024 г.</c:v>
                </c:pt>
              </c:strCache>
            </c:strRef>
          </c:cat>
          <c:val>
            <c:numRef>
              <c:f>'1.28 Показатель ЗН от ЧС'!$C$19:$W$19</c:f>
              <c:numCache>
                <c:formatCode>General</c:formatCode>
                <c:ptCount val="21"/>
                <c:pt idx="0">
                  <c:v>1</c:v>
                </c:pt>
                <c:pt idx="1">
                  <c:v>0.93</c:v>
                </c:pt>
                <c:pt idx="2">
                  <c:v>0.67</c:v>
                </c:pt>
                <c:pt idx="3">
                  <c:v>0.65</c:v>
                </c:pt>
                <c:pt idx="4">
                  <c:v>0.57999999999999996</c:v>
                </c:pt>
                <c:pt idx="5">
                  <c:v>0.6</c:v>
                </c:pt>
                <c:pt idx="6">
                  <c:v>0.67</c:v>
                </c:pt>
                <c:pt idx="7">
                  <c:v>0.53</c:v>
                </c:pt>
                <c:pt idx="8">
                  <c:v>0.49</c:v>
                </c:pt>
                <c:pt idx="9">
                  <c:v>0.45</c:v>
                </c:pt>
                <c:pt idx="10">
                  <c:v>0.44</c:v>
                </c:pt>
                <c:pt idx="11">
                  <c:v>0.4</c:v>
                </c:pt>
                <c:pt idx="12">
                  <c:v>0.37</c:v>
                </c:pt>
                <c:pt idx="13">
                  <c:v>0.31</c:v>
                </c:pt>
                <c:pt idx="14">
                  <c:v>0.32</c:v>
                </c:pt>
                <c:pt idx="15">
                  <c:v>0.25</c:v>
                </c:pt>
                <c:pt idx="16">
                  <c:v>0.26</c:v>
                </c:pt>
                <c:pt idx="17">
                  <c:v>0.28999999999999998</c:v>
                </c:pt>
                <c:pt idx="18">
                  <c:v>0.21</c:v>
                </c:pt>
                <c:pt idx="19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FD-44CE-849C-9B0CCB7CA1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424960"/>
        <c:axId val="150448384"/>
      </c:lineChart>
      <c:catAx>
        <c:axId val="1504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448384"/>
        <c:crosses val="autoZero"/>
        <c:auto val="1"/>
        <c:lblAlgn val="ctr"/>
        <c:lblOffset val="100"/>
        <c:noMultiLvlLbl val="0"/>
      </c:catAx>
      <c:valAx>
        <c:axId val="1504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04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'1.28 Показатель ЗН от ЧС'!$B$20</c:f>
              <c:strCache>
                <c:ptCount val="1"/>
                <c:pt idx="0">
                  <c:v>ср. индивидуальный риск обобщенный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8.461811023622047E-2"/>
                  <c:y val="2.5497594050743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0DF-48AA-B141-72E4A7FCF5F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840332458442694E-2"/>
                  <c:y val="5.327537182852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0DF-48AA-B141-72E4A7FCF5F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284776902887137E-2"/>
                  <c:y val="5.3275371828521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DF-48AA-B141-72E4A7FCF5F8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395888013998254E-2"/>
                  <c:y val="2.0867964421113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0DF-48AA-B141-72E4A7FCF5F8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618110236220476E-2"/>
                  <c:y val="5.79050014581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0DF-48AA-B141-72E4A7FCF5F8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395888013998356E-2"/>
                  <c:y val="-4.394685039370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DF-48AA-B141-72E4A7FCF5F8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6.0500000000000102E-2"/>
                  <c:y val="-4.3946850393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DF-48AA-B141-72E4A7FCF5F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'1.28 Показатель ЗН от ЧС'!$C$16:$W$16</c:f>
              <c:strCache>
                <c:ptCount val="21"/>
                <c:pt idx="0">
                  <c:v>2004 г.</c:v>
                </c:pt>
                <c:pt idx="1">
                  <c:v>2005 г.</c:v>
                </c:pt>
                <c:pt idx="2">
                  <c:v>2006 г.</c:v>
                </c:pt>
                <c:pt idx="3">
                  <c:v>2007 г.</c:v>
                </c:pt>
                <c:pt idx="4">
                  <c:v>2008 г.</c:v>
                </c:pt>
                <c:pt idx="5">
                  <c:v>2009 г.</c:v>
                </c:pt>
                <c:pt idx="6">
                  <c:v>2010 г.</c:v>
                </c:pt>
                <c:pt idx="7">
                  <c:v>2011 г.</c:v>
                </c:pt>
                <c:pt idx="8">
                  <c:v>2012 г.</c:v>
                </c:pt>
                <c:pt idx="9">
                  <c:v>2013 г.</c:v>
                </c:pt>
                <c:pt idx="10">
                  <c:v>2014 г.</c:v>
                </c:pt>
                <c:pt idx="11">
                  <c:v>2015 г.</c:v>
                </c:pt>
                <c:pt idx="12">
                  <c:v>2016 г.</c:v>
                </c:pt>
                <c:pt idx="13">
                  <c:v>2017 г.</c:v>
                </c:pt>
                <c:pt idx="14">
                  <c:v>2018 г.</c:v>
                </c:pt>
                <c:pt idx="15">
                  <c:v>2019 г.</c:v>
                </c:pt>
                <c:pt idx="16">
                  <c:v>2020 г.</c:v>
                </c:pt>
                <c:pt idx="17">
                  <c:v>2021 г.</c:v>
                </c:pt>
                <c:pt idx="18">
                  <c:v>2022 г.</c:v>
                </c:pt>
                <c:pt idx="19">
                  <c:v>2023 г.</c:v>
                </c:pt>
                <c:pt idx="20">
                  <c:v>2024 г.</c:v>
                </c:pt>
              </c:strCache>
            </c:strRef>
          </c:cat>
          <c:val>
            <c:numRef>
              <c:f>'1.28 Показатель ЗН от ЧС'!$C$20:$W$20</c:f>
              <c:numCache>
                <c:formatCode>General</c:formatCode>
                <c:ptCount val="21"/>
                <c:pt idx="0">
                  <c:v>1</c:v>
                </c:pt>
                <c:pt idx="1">
                  <c:v>0.9</c:v>
                </c:pt>
                <c:pt idx="2">
                  <c:v>0.97</c:v>
                </c:pt>
                <c:pt idx="3">
                  <c:v>0.75</c:v>
                </c:pt>
                <c:pt idx="4">
                  <c:v>0.7</c:v>
                </c:pt>
                <c:pt idx="5">
                  <c:v>0.69</c:v>
                </c:pt>
                <c:pt idx="6">
                  <c:v>0.69</c:v>
                </c:pt>
                <c:pt idx="7">
                  <c:v>0.68</c:v>
                </c:pt>
                <c:pt idx="8">
                  <c:v>0.67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0.63</c:v>
                </c:pt>
                <c:pt idx="13">
                  <c:v>0.4</c:v>
                </c:pt>
                <c:pt idx="14">
                  <c:v>0.6</c:v>
                </c:pt>
                <c:pt idx="15">
                  <c:v>0.45</c:v>
                </c:pt>
                <c:pt idx="16">
                  <c:v>0.35</c:v>
                </c:pt>
                <c:pt idx="17">
                  <c:v>0.4</c:v>
                </c:pt>
                <c:pt idx="18">
                  <c:v>0.75</c:v>
                </c:pt>
                <c:pt idx="19">
                  <c:v>0.33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DF-48AA-B141-72E4A7FCF5F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556096"/>
        <c:axId val="151558784"/>
      </c:lineChart>
      <c:catAx>
        <c:axId val="1515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1558784"/>
        <c:crosses val="autoZero"/>
        <c:auto val="1"/>
        <c:lblAlgn val="ctr"/>
        <c:lblOffset val="100"/>
        <c:noMultiLvlLbl val="0"/>
      </c:catAx>
      <c:valAx>
        <c:axId val="15155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155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8.0521262031014312E-2"/>
                  <c:y val="-0.421397414597042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00-4DEF-8716-9E16CF286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00-4DEF-8716-9E16CF2864E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ПОО'!$A$6:$A$8</c:f>
              <c:strCache>
                <c:ptCount val="3"/>
                <c:pt idx="0">
                  <c:v>Ядерного топливного цикла</c:v>
                </c:pt>
                <c:pt idx="1">
                  <c:v>Ядерных энергетических установок судов</c:v>
                </c:pt>
                <c:pt idx="2">
                  <c:v>Организации осуществляющие деятельность в отношении РОО</c:v>
                </c:pt>
              </c:strCache>
            </c:strRef>
          </c:cat>
          <c:val>
            <c:numRef>
              <c:f>'1.29 Сведения по ПОО'!$B$6:$B$8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00-4DEF-8716-9E16CF2864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0144888033258082"/>
          <c:y val="4.9600137414742028E-2"/>
          <c:w val="0.36545743314824131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09-4ED4-9E7A-9C669AD339B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09-4ED4-9E7A-9C669AD339B3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ПОО'!$A$14:$A$16</c:f>
              <c:strCache>
                <c:ptCount val="3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</c:strCache>
            </c:strRef>
          </c:cat>
          <c:val>
            <c:numRef>
              <c:f>'1.29 Сведения по ПОО'!$B$14:$B$16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09-4ED4-9E7A-9C669AD339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646-4ECC-AF60-54E24A120A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646-4ECC-AF60-54E24A120A8D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ПОО'!$A$19:$A$22</c:f>
              <c:strCache>
                <c:ptCount val="4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  <c:pt idx="3">
                  <c:v>IV класс</c:v>
                </c:pt>
              </c:strCache>
            </c:strRef>
          </c:cat>
          <c:val>
            <c:numRef>
              <c:f>'1.29 Сведения по ПОО'!$B$19:$B$22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46-4ECC-AF60-54E24A120A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74-4E5E-B8C9-FBD0DA6D426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74-4E5E-B8C9-FBD0DA6D426E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ПОО'!$A$27:$A$35</c:f>
              <c:strCache>
                <c:ptCount val="9"/>
                <c:pt idx="0">
                  <c:v>химически опасные производственные объекты</c:v>
                </c:pt>
                <c:pt idx="1">
                  <c:v>хлорные объекты системы водоподготовки</c:v>
                </c:pt>
                <c:pt idx="2">
                  <c:v>объекты целлюлозно-бумажных производств</c:v>
                </c:pt>
                <c:pt idx="3">
                  <c:v>аммиачно-холодильные установки</c:v>
                </c:pt>
                <c:pt idx="4">
                  <c:v>криогенно-вакуумной техники</c:v>
                </c:pt>
                <c:pt idx="5">
                  <c:v>спиртовые производства </c:v>
                </c:pt>
                <c:pt idx="6">
                  <c:v>маслоэкстракционные производства</c:v>
                </c:pt>
                <c:pt idx="7">
                  <c:v>склады, базы хранения и отгрузки ОХВ</c:v>
                </c:pt>
                <c:pt idx="8">
                  <c:v>другие производства</c:v>
                </c:pt>
              </c:strCache>
            </c:strRef>
          </c:cat>
          <c:val>
            <c:numRef>
              <c:f>'1.29 Сведения по ПОО'!$B$27:$B$35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74-4E5E-B8C9-FBD0DA6D42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0480844750127094"/>
          <c:y val="4.9600137414742028E-2"/>
          <c:w val="0.36209787576725905"/>
          <c:h val="0.94214101305076559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29-4210-8361-0DBA64C5C1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029-4210-8361-0DBA64C5C1CB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ПОО'!$A$41:$A$43</c:f>
              <c:strCache>
                <c:ptCount val="3"/>
                <c:pt idx="0">
                  <c:v>объекты транспортирования автомобильным транспортом</c:v>
                </c:pt>
                <c:pt idx="1">
                  <c:v>объекты транспортирования железнодорожным транспортом</c:v>
                </c:pt>
                <c:pt idx="2">
                  <c:v>прочие объекты транспортирования</c:v>
                </c:pt>
              </c:strCache>
            </c:strRef>
          </c:cat>
          <c:val>
            <c:numRef>
              <c:f>'1.29 Сведения по ПОО'!$B$41:$B$43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29-4210-8361-0DBA64C5C1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4070977239560123"/>
          <c:y val="4.9600137414742028E-2"/>
          <c:w val="0.32619642397478887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7635410958734"/>
          <c:y val="7.89498994931395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CB1-4971-9149-D91BE5AA04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CB1-4971-9149-D91BE5AA04FF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ПОО'!$A$46:$A$48</c:f>
              <c:strCache>
                <c:ptCount val="3"/>
                <c:pt idx="0">
                  <c:v>автомобильных транспортных средств</c:v>
                </c:pt>
                <c:pt idx="1">
                  <c:v>железнодорожных транспортных средств</c:v>
                </c:pt>
                <c:pt idx="2">
                  <c:v>прочие</c:v>
                </c:pt>
              </c:strCache>
            </c:strRef>
          </c:cat>
          <c:val>
            <c:numRef>
              <c:f>'1.29 Сведения по ПОО'!$B$46:$B$48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B1-4971-9149-D91BE5AA04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4070977239560123"/>
          <c:y val="4.9600137414742028E-2"/>
          <c:w val="0.32619642397478887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D8-455F-B0C7-A8D7DEA50D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D8-455F-B0C7-A8D7DEA50DD9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ПОО'!$A$51:$A$53</c:f>
              <c:strCache>
                <c:ptCount val="3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</c:strCache>
            </c:strRef>
          </c:cat>
          <c:val>
            <c:numRef>
              <c:f>'1.29 Сведения по ПОО'!$B$51:$B$53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D8-455F-B0C7-A8D7DEA50D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01-41FE-884B-D5E6F4024E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01-41FE-884B-D5E6F4024E3E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ПОО'!$A$56:$A$59</c:f>
              <c:strCache>
                <c:ptCount val="4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  <c:pt idx="3">
                  <c:v>IV класс</c:v>
                </c:pt>
              </c:strCache>
            </c:strRef>
          </c:cat>
          <c:val>
            <c:numRef>
              <c:f>'1.29 Сведения по ПОО'!$B$56:$B$59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01-41FE-884B-D5E6F4024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2469119340366234E-2"/>
                  <c:y val="7.70317951861493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3B-48A5-86F3-3CCF2D9BEB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231293487192374E-2"/>
                  <c:y val="-5.62204600798757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3B-48A5-86F3-3CCF2D9BEBAF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ПОО'!$A$62:$A$65</c:f>
              <c:strCache>
                <c:ptCount val="4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  <c:pt idx="3">
                  <c:v>IV класс</c:v>
                </c:pt>
              </c:strCache>
            </c:strRef>
          </c:cat>
          <c:val>
            <c:numRef>
              <c:f>'1.29 Сведения по ПОО'!$B$62:$B$65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3B-48A5-86F3-3CCF2D9BEB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9409249142699097E-2"/>
                  <c:y val="-4.75759744786302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5B-491C-BC7A-20C442B212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918515040867478E-3"/>
                  <c:y val="0.243592091664626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5B-491C-BC7A-20C442B212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114067648816081E-2"/>
                  <c:y val="-0.17699516521797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5B-491C-BC7A-20C442B21215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ПОО'!$A$68:$A$71</c:f>
              <c:strCache>
                <c:ptCount val="4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  <c:pt idx="3">
                  <c:v>IV класс</c:v>
                </c:pt>
              </c:strCache>
            </c:strRef>
          </c:cat>
          <c:val>
            <c:numRef>
              <c:f>'1.29 Сведения по ПОО'!$B$68:$B$71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5B-491C-BC7A-20C442B212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7.0051876004581112E-2"/>
                  <c:y val="-0.1365811905113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F6-4EA5-87D9-18C5C3AAB7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48433775810996E-2"/>
                  <c:y val="-2.3423834100812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F6-4EA5-87D9-18C5C3AAB7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713474674200927E-2"/>
                  <c:y val="0.126865515962542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F6-4EA5-87D9-18C5C3AAB79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583556722415873E-2"/>
                  <c:y val="-0.366872959421096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F6-4EA5-87D9-18C5C3AAB79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983785528344461E-3"/>
                  <c:y val="0.122872518366378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F6-4EA5-87D9-18C5C3AAB795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ПОО'!$A$74:$A$79</c:f>
              <c:strCache>
                <c:ptCount val="6"/>
                <c:pt idx="0">
                  <c:v>тепловые электростанции</c:v>
                </c:pt>
                <c:pt idx="1">
                  <c:v>газотурбинные (газопоршневые) электростанции</c:v>
                </c:pt>
                <c:pt idx="2">
                  <c:v>малые (технологические) электростанции</c:v>
                </c:pt>
                <c:pt idx="3">
                  <c:v>гидроэлектростанции </c:v>
                </c:pt>
                <c:pt idx="4">
                  <c:v>котельные</c:v>
                </c:pt>
                <c:pt idx="5">
                  <c:v>электрические подстанции</c:v>
                </c:pt>
              </c:strCache>
            </c:strRef>
          </c:cat>
          <c:val>
            <c:numRef>
              <c:f>'1.29 Сведения по ПОО'!$B$74:$B$79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FF6-4EA5-87D9-18C5C3AAB7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4594456845598447"/>
          <c:y val="4.9600137414742028E-2"/>
          <c:w val="0.35405543154401548"/>
          <c:h val="0.95039983620236734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9409249142699097E-2"/>
                  <c:y val="-4.75759744786302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1C-4F76-9030-B29D57708A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0918515040867478E-3"/>
                  <c:y val="0.243592091664626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1C-4F76-9030-B29D57708AA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114067648816081E-2"/>
                  <c:y val="-0.17699516521797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1C-4F76-9030-B29D57708AAE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ПОО'!$A$88:$A$90</c:f>
              <c:strCache>
                <c:ptCount val="3"/>
                <c:pt idx="0">
                  <c:v>промышленности</c:v>
                </c:pt>
                <c:pt idx="1">
                  <c:v>энергетики</c:v>
                </c:pt>
                <c:pt idx="2">
                  <c:v>водохозяйственного назначения</c:v>
                </c:pt>
              </c:strCache>
            </c:strRef>
          </c:cat>
          <c:val>
            <c:numRef>
              <c:f>'1.29 Сведения по ПОО'!$B$88:$B$90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1C-4F76-9030-B29D57708A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6426635466732553"/>
          <c:y val="4.9600137414742028E-2"/>
          <c:w val="0.30263984170306463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9051914287592E-2"/>
          <c:y val="8.8562083551025961E-2"/>
          <c:w val="0.41281607234906192"/>
          <c:h val="0.84076149218529528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9409249142699097E-2"/>
                  <c:y val="-4.75759744786302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DD-4275-A6EB-39E9842EF6E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169118948787002E-2"/>
                  <c:y val="0.118984789218828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DD-4275-A6EB-39E9842EF6E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114067648816081E-2"/>
                  <c:y val="-0.17699516521797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DD-4275-A6EB-39E9842EF6EE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'1.29 Сведения по ПОО'!$A$93:$A$96</c:f>
              <c:strCache>
                <c:ptCount val="4"/>
                <c:pt idx="0">
                  <c:v>I класс</c:v>
                </c:pt>
                <c:pt idx="1">
                  <c:v>II класс</c:v>
                </c:pt>
                <c:pt idx="2">
                  <c:v>III класс</c:v>
                </c:pt>
                <c:pt idx="3">
                  <c:v>IV класс</c:v>
                </c:pt>
              </c:strCache>
            </c:strRef>
          </c:cat>
          <c:val>
            <c:numRef>
              <c:f>'1.29 Сведения по ПОО'!$B$93:$B$96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DD-4275-A6EB-39E9842EF6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1923171330134883"/>
          <c:y val="4.9600137414742028E-2"/>
          <c:w val="0.24767448306904138"/>
          <c:h val="0.8372026852009322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('Таблица 1.4+'!$A$3:$D$3,'Таблица 1.4+'!$A$40:$D$40,'Таблица 1.4+'!$A$88:$D$88)</c:f>
              <c:strCache>
                <c:ptCount val="3"/>
                <c:pt idx="0">
                  <c:v>Техногенные чрезвычайные ситуации</c:v>
                </c:pt>
                <c:pt idx="1">
                  <c:v>Природные чрезвычайные ситуации</c:v>
                </c:pt>
                <c:pt idx="2">
                  <c:v>Природные чрезвычайные ситуации, связанные с биологической опасностью</c:v>
                </c:pt>
              </c:strCache>
            </c:strRef>
          </c:cat>
          <c:val>
            <c:numRef>
              <c:f>('Таблица 1.4+'!$B$39,'Таблица 1.4+'!$B$87,'Таблица 1.4+'!$B$92)</c:f>
              <c:numCache>
                <c:formatCode>General</c:formatCode>
                <c:ptCount val="3"/>
                <c:pt idx="0">
                  <c:v>596540.73430000001</c:v>
                </c:pt>
                <c:pt idx="1">
                  <c:v>7125900.9908999996</c:v>
                </c:pt>
                <c:pt idx="2">
                  <c:v>105953.0077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68D-ADC4-60117071CC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overlay val="0"/>
      <c:txPr>
        <a:bodyPr/>
        <a:lstStyle/>
        <a:p>
          <a:pPr>
            <a:defRPr sz="16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('Таблица 1.4+'!$A$3:$D$3,'Таблица 1.4+'!$A$40:$D$40,'Таблица 1.4+'!$A$88:$D$88)</c:f>
              <c:strCache>
                <c:ptCount val="3"/>
                <c:pt idx="0">
                  <c:v>Техногенные чрезвычайные ситуации</c:v>
                </c:pt>
                <c:pt idx="1">
                  <c:v>Природные чрезвычайные ситуации</c:v>
                </c:pt>
                <c:pt idx="2">
                  <c:v>Природные чрезвычайные ситуации, связанные с биологической опасностью</c:v>
                </c:pt>
              </c:strCache>
            </c:strRef>
          </c:cat>
          <c:val>
            <c:numRef>
              <c:f>('Таблица 1.4+'!$C$39,'Таблица 1.4+'!$C$87,'Таблица 1.4+'!$C$92)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AE-4E33-8F18-7B789A4A35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77708247048888801"/>
          <c:y val="0.37917693910631739"/>
          <c:w val="0.20430500389690595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'1.2 оперативные показатели'!$C$1:$D$2</c:f>
              <c:multiLvlStrCache>
                <c:ptCount val="1"/>
                <c:lvl>
                  <c:pt idx="0">
                    <c:v>Природные ЧС, ед.</c:v>
                  </c:pt>
                </c:lvl>
                <c:lvl>
                  <c:pt idx="0">
                    <c:v>Техногенные ЧС, ед.</c:v>
                  </c:pt>
                </c:lvl>
              </c:multiLvlStrCache>
            </c:multiLvlStrRef>
          </c:cat>
          <c:val>
            <c:numRef>
              <c:f>('Таблица 1.4+'!$C$39,'Таблица 1.4+'!$C$96)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1-46A2-A1BD-358896410C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80500565701538618"/>
          <c:y val="0.37917693910631739"/>
          <c:w val="0.17638180044248394"/>
          <c:h val="0.30031278106295672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0" Type="http://schemas.openxmlformats.org/officeDocument/2006/relationships/chart" Target="../charts/chart85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459441</xdr:colOff>
      <xdr:row>1</xdr:row>
      <xdr:rowOff>44823</xdr:rowOff>
    </xdr:from>
    <xdr:to>
      <xdr:col>25</xdr:col>
      <xdr:colOff>368774</xdr:colOff>
      <xdr:row>12</xdr:row>
      <xdr:rowOff>463516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14</xdr:row>
      <xdr:rowOff>0</xdr:rowOff>
    </xdr:from>
    <xdr:to>
      <xdr:col>22</xdr:col>
      <xdr:colOff>37897</xdr:colOff>
      <xdr:row>19</xdr:row>
      <xdr:rowOff>294409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666750</xdr:colOff>
      <xdr:row>10</xdr:row>
      <xdr:rowOff>242887</xdr:rowOff>
    </xdr:from>
    <xdr:to>
      <xdr:col>40</xdr:col>
      <xdr:colOff>2381</xdr:colOff>
      <xdr:row>16</xdr:row>
      <xdr:rowOff>1200150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504824</xdr:colOff>
      <xdr:row>0</xdr:row>
      <xdr:rowOff>271461</xdr:rowOff>
    </xdr:from>
    <xdr:to>
      <xdr:col>18</xdr:col>
      <xdr:colOff>419099</xdr:colOff>
      <xdr:row>17</xdr:row>
      <xdr:rowOff>47624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19</xdr:row>
      <xdr:rowOff>114300</xdr:rowOff>
    </xdr:from>
    <xdr:to>
      <xdr:col>18</xdr:col>
      <xdr:colOff>428625</xdr:colOff>
      <xdr:row>41</xdr:row>
      <xdr:rowOff>14721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392430</xdr:colOff>
      <xdr:row>14</xdr:row>
      <xdr:rowOff>87630</xdr:rowOff>
    </xdr:from>
    <xdr:to>
      <xdr:col>6</xdr:col>
      <xdr:colOff>59055</xdr:colOff>
      <xdr:row>29</xdr:row>
      <xdr:rowOff>106680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F4E31A0-C27B-4F3E-AFF4-535010C7C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43030</xdr:colOff>
      <xdr:row>0</xdr:row>
      <xdr:rowOff>0</xdr:rowOff>
    </xdr:from>
    <xdr:to>
      <xdr:col>4</xdr:col>
      <xdr:colOff>749001</xdr:colOff>
      <xdr:row>0</xdr:row>
      <xdr:rowOff>36195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D0A96804-1411-42DD-A45E-98EF79DDE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27630</xdr:colOff>
      <xdr:row>3</xdr:row>
      <xdr:rowOff>154448</xdr:rowOff>
    </xdr:from>
    <xdr:to>
      <xdr:col>15</xdr:col>
      <xdr:colOff>394607</xdr:colOff>
      <xdr:row>22</xdr:row>
      <xdr:rowOff>40823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EF622FA2-0F75-4FC3-957C-E30584CC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</xdr:row>
      <xdr:rowOff>47625</xdr:rowOff>
    </xdr:from>
    <xdr:to>
      <xdr:col>12</xdr:col>
      <xdr:colOff>57150</xdr:colOff>
      <xdr:row>19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EDAA8BA1-56E4-47B6-A868-2F536E739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262890</xdr:colOff>
      <xdr:row>0</xdr:row>
      <xdr:rowOff>110490</xdr:rowOff>
    </xdr:from>
    <xdr:to>
      <xdr:col>11</xdr:col>
      <xdr:colOff>567690</xdr:colOff>
      <xdr:row>14</xdr:row>
      <xdr:rowOff>179070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84D8904D-B9A1-4CED-B4AE-71828D226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179070</xdr:colOff>
      <xdr:row>16</xdr:row>
      <xdr:rowOff>148590</xdr:rowOff>
    </xdr:from>
    <xdr:to>
      <xdr:col>11</xdr:col>
      <xdr:colOff>483870</xdr:colOff>
      <xdr:row>31</xdr:row>
      <xdr:rowOff>173355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F52BFBD7-B273-49BC-A8FE-ACD105059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186690</xdr:colOff>
      <xdr:row>0</xdr:row>
      <xdr:rowOff>152400</xdr:rowOff>
    </xdr:from>
    <xdr:to>
      <xdr:col>19</xdr:col>
      <xdr:colOff>491490</xdr:colOff>
      <xdr:row>15</xdr:row>
      <xdr:rowOff>53340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6408DB23-DAAE-42F7-BBE5-0054CA509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459105</xdr:colOff>
      <xdr:row>19</xdr:row>
      <xdr:rowOff>19050</xdr:rowOff>
    </xdr:from>
    <xdr:to>
      <xdr:col>4</xdr:col>
      <xdr:colOff>506730</xdr:colOff>
      <xdr:row>34</xdr:row>
      <xdr:rowOff>43815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33FA8DA2-9A72-4E40-ADD0-35678EAAA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567690</xdr:colOff>
      <xdr:row>12</xdr:row>
      <xdr:rowOff>95250</xdr:rowOff>
    </xdr:from>
    <xdr:to>
      <xdr:col>5</xdr:col>
      <xdr:colOff>510540</xdr:colOff>
      <xdr:row>27</xdr:row>
      <xdr:rowOff>120015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B1DA82F1-0246-47D3-9BEA-BE5136578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179069</xdr:colOff>
      <xdr:row>1</xdr:row>
      <xdr:rowOff>179068</xdr:rowOff>
    </xdr:from>
    <xdr:to>
      <xdr:col>14</xdr:col>
      <xdr:colOff>782955</xdr:colOff>
      <xdr:row>18</xdr:row>
      <xdr:rowOff>81915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4E1D9D1-F729-4CE5-B866-086887DFF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163830</xdr:colOff>
      <xdr:row>21</xdr:row>
      <xdr:rowOff>171450</xdr:rowOff>
    </xdr:from>
    <xdr:to>
      <xdr:col>10</xdr:col>
      <xdr:colOff>104775</xdr:colOff>
      <xdr:row>33</xdr:row>
      <xdr:rowOff>116205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DE03F84A-01F1-47F2-93A9-2F078842C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1</xdr:row>
      <xdr:rowOff>295275</xdr:rowOff>
    </xdr:from>
    <xdr:to>
      <xdr:col>28</xdr:col>
      <xdr:colOff>76200</xdr:colOff>
      <xdr:row>13</xdr:row>
      <xdr:rowOff>485775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15</xdr:row>
      <xdr:rowOff>0</xdr:rowOff>
    </xdr:from>
    <xdr:to>
      <xdr:col>25</xdr:col>
      <xdr:colOff>559254</xdr:colOff>
      <xdr:row>25</xdr:row>
      <xdr:rowOff>320882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27</xdr:row>
      <xdr:rowOff>0</xdr:rowOff>
    </xdr:from>
    <xdr:to>
      <xdr:col>25</xdr:col>
      <xdr:colOff>559254</xdr:colOff>
      <xdr:row>33</xdr:row>
      <xdr:rowOff>524990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34</xdr:row>
      <xdr:rowOff>0</xdr:rowOff>
    </xdr:from>
    <xdr:to>
      <xdr:col>25</xdr:col>
      <xdr:colOff>559254</xdr:colOff>
      <xdr:row>50</xdr:row>
      <xdr:rowOff>184810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51</xdr:row>
      <xdr:rowOff>0</xdr:rowOff>
    </xdr:from>
    <xdr:to>
      <xdr:col>25</xdr:col>
      <xdr:colOff>559254</xdr:colOff>
      <xdr:row>73</xdr:row>
      <xdr:rowOff>89560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35</xdr:col>
      <xdr:colOff>254374</xdr:colOff>
      <xdr:row>23</xdr:row>
      <xdr:rowOff>108857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25</xdr:row>
      <xdr:rowOff>0</xdr:rowOff>
    </xdr:from>
    <xdr:to>
      <xdr:col>35</xdr:col>
      <xdr:colOff>254374</xdr:colOff>
      <xdr:row>31</xdr:row>
      <xdr:rowOff>449036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35</xdr:col>
      <xdr:colOff>254374</xdr:colOff>
      <xdr:row>40</xdr:row>
      <xdr:rowOff>95250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42</xdr:row>
      <xdr:rowOff>0</xdr:rowOff>
    </xdr:from>
    <xdr:to>
      <xdr:col>35</xdr:col>
      <xdr:colOff>254374</xdr:colOff>
      <xdr:row>58</xdr:row>
      <xdr:rowOff>108857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35</xdr:col>
      <xdr:colOff>254374</xdr:colOff>
      <xdr:row>77</xdr:row>
      <xdr:rowOff>95250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385897</xdr:colOff>
      <xdr:row>1</xdr:row>
      <xdr:rowOff>151311</xdr:rowOff>
    </xdr:from>
    <xdr:to>
      <xdr:col>12</xdr:col>
      <xdr:colOff>480059</xdr:colOff>
      <xdr:row>13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C0FF386-145F-42E6-9B0E-4D2951C7F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386715</xdr:colOff>
      <xdr:row>13</xdr:row>
      <xdr:rowOff>0</xdr:rowOff>
    </xdr:from>
    <xdr:to>
      <xdr:col>14</xdr:col>
      <xdr:colOff>554084</xdr:colOff>
      <xdr:row>31</xdr:row>
      <xdr:rowOff>52524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9C329EE4-4118-4217-87B3-C4CA4B5C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367393</xdr:colOff>
      <xdr:row>29</xdr:row>
      <xdr:rowOff>103687</xdr:rowOff>
    </xdr:from>
    <xdr:to>
      <xdr:col>4</xdr:col>
      <xdr:colOff>301262</xdr:colOff>
      <xdr:row>45</xdr:row>
      <xdr:rowOff>14696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979471EA-560F-414A-B0F1-8D852A0EA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361405</xdr:colOff>
      <xdr:row>13</xdr:row>
      <xdr:rowOff>84365</xdr:rowOff>
    </xdr:from>
    <xdr:to>
      <xdr:col>6</xdr:col>
      <xdr:colOff>176892</xdr:colOff>
      <xdr:row>28</xdr:row>
      <xdr:rowOff>172266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FB9D6B1-B4AC-4622-ADAB-8BDCFFAEE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497206</xdr:colOff>
      <xdr:row>0</xdr:row>
      <xdr:rowOff>163830</xdr:rowOff>
    </xdr:from>
    <xdr:to>
      <xdr:col>9</xdr:col>
      <xdr:colOff>201930</xdr:colOff>
      <xdr:row>9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EADD9352-B11F-49C9-A650-0CB61E94A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18640</xdr:colOff>
      <xdr:row>0</xdr:row>
      <xdr:rowOff>78377</xdr:rowOff>
    </xdr:from>
    <xdr:to>
      <xdr:col>12</xdr:col>
      <xdr:colOff>188730</xdr:colOff>
      <xdr:row>11</xdr:row>
      <xdr:rowOff>121376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B26D1AA-4953-4CEC-B95C-F417E4B37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19866</xdr:colOff>
      <xdr:row>18</xdr:row>
      <xdr:rowOff>855888</xdr:rowOff>
    </xdr:from>
    <xdr:to>
      <xdr:col>10</xdr:col>
      <xdr:colOff>79738</xdr:colOff>
      <xdr:row>24</xdr:row>
      <xdr:rowOff>13608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D795A85A-0306-43B3-9959-03511AC27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606607</xdr:colOff>
      <xdr:row>39</xdr:row>
      <xdr:rowOff>171996</xdr:rowOff>
    </xdr:from>
    <xdr:to>
      <xdr:col>9</xdr:col>
      <xdr:colOff>375285</xdr:colOff>
      <xdr:row>47</xdr:row>
      <xdr:rowOff>167096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813493B3-F418-4357-9517-72F4D4F59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13606</xdr:colOff>
      <xdr:row>15</xdr:row>
      <xdr:rowOff>45447</xdr:rowOff>
    </xdr:from>
    <xdr:to>
      <xdr:col>12</xdr:col>
      <xdr:colOff>163285</xdr:colOff>
      <xdr:row>18</xdr:row>
      <xdr:rowOff>421004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D804C518-287E-4F66-924E-714580C4F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1905</xdr:colOff>
      <xdr:row>27</xdr:row>
      <xdr:rowOff>23405</xdr:rowOff>
    </xdr:from>
    <xdr:to>
      <xdr:col>12</xdr:col>
      <xdr:colOff>171178</xdr:colOff>
      <xdr:row>37</xdr:row>
      <xdr:rowOff>95523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94D5C670-9245-4B00-9807-22ECF8C79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271463</xdr:colOff>
      <xdr:row>17</xdr:row>
      <xdr:rowOff>16668</xdr:rowOff>
    </xdr:from>
    <xdr:to>
      <xdr:col>9</xdr:col>
      <xdr:colOff>452437</xdr:colOff>
      <xdr:row>38</xdr:row>
      <xdr:rowOff>83343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589862</xdr:colOff>
      <xdr:row>1</xdr:row>
      <xdr:rowOff>264999</xdr:rowOff>
    </xdr:from>
    <xdr:ext cx="9620448" cy="6257663"/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7C0E56CE-C1F0-4647-A5CA-71D270665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381812" y="426924"/>
          <a:ext cx="9620448" cy="6257663"/>
        </a:xfrm>
        <a:prstGeom prst="rect">
          <a:avLst/>
        </a:prstGeom>
      </xdr:spPr>
    </xdr:pic>
    <xdr:clientData/>
  </xdr:oneCellAnchor>
  <xdr:twoCellAnchor>
    <xdr:from>
      <xdr:col>1</xdr:col>
      <xdr:colOff>341282</xdr:colOff>
      <xdr:row>3</xdr:row>
      <xdr:rowOff>81643</xdr:rowOff>
    </xdr:from>
    <xdr:to>
      <xdr:col>3</xdr:col>
      <xdr:colOff>528085</xdr:colOff>
      <xdr:row>13</xdr:row>
      <xdr:rowOff>75641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xmlns="" id="{B675333C-939E-4EB3-88A9-B704F484E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575039</xdr:colOff>
      <xdr:row>3</xdr:row>
      <xdr:rowOff>33746</xdr:rowOff>
    </xdr:from>
    <xdr:to>
      <xdr:col>9</xdr:col>
      <xdr:colOff>204107</xdr:colOff>
      <xdr:row>13</xdr:row>
      <xdr:rowOff>40822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xmlns="" id="{6E2E47D9-83DF-412A-9201-B95860E72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</xdr:colOff>
      <xdr:row>17</xdr:row>
      <xdr:rowOff>20139</xdr:rowOff>
    </xdr:from>
    <xdr:to>
      <xdr:col>9</xdr:col>
      <xdr:colOff>227512</xdr:colOff>
      <xdr:row>26</xdr:row>
      <xdr:rowOff>42727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xmlns="" id="{E150E82F-1159-4040-820E-64F13D5F7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604429</xdr:colOff>
      <xdr:row>17</xdr:row>
      <xdr:rowOff>60960</xdr:rowOff>
    </xdr:from>
    <xdr:to>
      <xdr:col>3</xdr:col>
      <xdr:colOff>37012</xdr:colOff>
      <xdr:row>24</xdr:row>
      <xdr:rowOff>17418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xmlns="" id="{29C8D9DD-143C-4B7D-A0A6-F1F7DBB50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606335</xdr:colOff>
      <xdr:row>32</xdr:row>
      <xdr:rowOff>169817</xdr:rowOff>
    </xdr:from>
    <xdr:to>
      <xdr:col>4</xdr:col>
      <xdr:colOff>1010739</xdr:colOff>
      <xdr:row>46</xdr:row>
      <xdr:rowOff>158659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xmlns="" id="{51B9F004-42E4-4EE4-8DBD-F5DE12E29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600619</xdr:colOff>
      <xdr:row>31</xdr:row>
      <xdr:rowOff>45448</xdr:rowOff>
    </xdr:from>
    <xdr:to>
      <xdr:col>11</xdr:col>
      <xdr:colOff>274047</xdr:colOff>
      <xdr:row>45</xdr:row>
      <xdr:rowOff>38100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xmlns="" id="{B9981B7A-31E6-43B1-BA00-4B34C4862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9526</xdr:colOff>
      <xdr:row>5</xdr:row>
      <xdr:rowOff>9526</xdr:rowOff>
    </xdr:from>
    <xdr:to>
      <xdr:col>20</xdr:col>
      <xdr:colOff>295276</xdr:colOff>
      <xdr:row>10</xdr:row>
      <xdr:rowOff>28575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F22C7062-AF03-40D7-85C4-86981D4324EA}"/>
            </a:ext>
          </a:extLst>
        </xdr:cNvPr>
        <xdr:cNvSpPr/>
      </xdr:nvSpPr>
      <xdr:spPr>
        <a:xfrm>
          <a:off x="11572876" y="2057401"/>
          <a:ext cx="3943350" cy="1466849"/>
        </a:xfrm>
        <a:prstGeom prst="rect">
          <a:avLst/>
        </a:prstGeom>
        <a:noFill/>
        <a:ln>
          <a:solidFill>
            <a:schemeClr val="accent1">
              <a:alpha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2317" tIns="51160" rIns="102317" bIns="51160" rtlCol="0" anchor="ctr"/>
        <a:lstStyle>
          <a:defPPr lvl="0">
            <a:defRPr lang="ru-RU"/>
          </a:defPPr>
          <a:lvl1pPr marL="0" lvl="1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9629" lvl="2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9282" lvl="3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68907" lvl="4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58550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48187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37825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27462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517109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32455"/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В рамках осуществления лицензионного контроля </a:t>
          </a:r>
          <a:br>
            <a:rPr lang="ru-RU" sz="1200">
              <a:solidFill>
                <a:schemeClr val="tx1"/>
              </a:solidFill>
              <a:cs typeface="Arial" panose="020B0604020202020204" pitchFamily="34" charset="0"/>
            </a:rPr>
          </a:b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в отношении лицензиатов проведено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Х 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проверки </a:t>
          </a:r>
        </a:p>
        <a:p>
          <a:pPr algn="ctr" defTabSz="1432455"/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(АППГ –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254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) по результатам которых возбуждено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Х 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дел об административных правонарушениях </a:t>
          </a:r>
        </a:p>
        <a:p>
          <a:pPr algn="ctr" defTabSz="1432455"/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(АППГ –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377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14</xdr:col>
      <xdr:colOff>9525</xdr:colOff>
      <xdr:row>19</xdr:row>
      <xdr:rowOff>190499</xdr:rowOff>
    </xdr:from>
    <xdr:to>
      <xdr:col>19</xdr:col>
      <xdr:colOff>516479</xdr:colOff>
      <xdr:row>26</xdr:row>
      <xdr:rowOff>66204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7C2E80AF-294D-49E6-B4D0-E5B359B55A3A}"/>
            </a:ext>
          </a:extLst>
        </xdr:cNvPr>
        <xdr:cNvSpPr/>
      </xdr:nvSpPr>
      <xdr:spPr>
        <a:xfrm>
          <a:off x="11572875" y="5591174"/>
          <a:ext cx="3554954" cy="1485430"/>
        </a:xfrm>
        <a:prstGeom prst="rect">
          <a:avLst/>
        </a:prstGeom>
        <a:noFill/>
        <a:ln>
          <a:solidFill>
            <a:schemeClr val="accent1">
              <a:alpha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2317" tIns="51160" rIns="102317" bIns="51160" rtlCol="0" anchor="ctr"/>
        <a:lstStyle>
          <a:defPPr lvl="0">
            <a:defRPr lang="ru-RU"/>
          </a:defPPr>
          <a:lvl1pPr marL="0" lvl="1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689629" lvl="2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379282" lvl="3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068907" lvl="4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758550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448187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137825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827462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517109" algn="l" defTabSz="1379282" rtl="0" eaLnBrk="1" latinLnBrk="0" hangingPunct="1">
            <a:defRPr sz="27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432455"/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В рамках осуществления лицензионного контроля </a:t>
          </a:r>
          <a:br>
            <a:rPr lang="ru-RU" sz="1200">
              <a:solidFill>
                <a:schemeClr val="tx1"/>
              </a:solidFill>
              <a:cs typeface="Arial" panose="020B0604020202020204" pitchFamily="34" charset="0"/>
            </a:rPr>
          </a:b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в отношении лицензиатов проведено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Х 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проверок (АППГ –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14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) по результатам которых возбуждено </a:t>
          </a:r>
          <a:br>
            <a:rPr lang="ru-RU" sz="1200">
              <a:solidFill>
                <a:schemeClr val="tx1"/>
              </a:solidFill>
              <a:cs typeface="Arial" panose="020B0604020202020204" pitchFamily="34" charset="0"/>
            </a:rPr>
          </a:b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Х 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дел об административных правонарушениях</a:t>
          </a:r>
          <a:br>
            <a:rPr lang="ru-RU" sz="1200">
              <a:solidFill>
                <a:schemeClr val="tx1"/>
              </a:solidFill>
              <a:cs typeface="Arial" panose="020B0604020202020204" pitchFamily="34" charset="0"/>
            </a:rPr>
          </a:b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(АППГ - </a:t>
          </a:r>
          <a:r>
            <a:rPr lang="ru-RU" sz="1200" b="1">
              <a:solidFill>
                <a:schemeClr val="accent2"/>
              </a:solidFill>
              <a:cs typeface="Arial" panose="020B0604020202020204" pitchFamily="34" charset="0"/>
            </a:rPr>
            <a:t>10</a:t>
          </a:r>
          <a:r>
            <a:rPr lang="ru-RU" sz="1200">
              <a:solidFill>
                <a:schemeClr val="tx1"/>
              </a:solidFill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23</xdr:col>
      <xdr:colOff>13607</xdr:colOff>
      <xdr:row>17</xdr:row>
      <xdr:rowOff>16330</xdr:rowOff>
    </xdr:from>
    <xdr:to>
      <xdr:col>27</xdr:col>
      <xdr:colOff>449035</xdr:colOff>
      <xdr:row>30</xdr:row>
      <xdr:rowOff>92530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D508298A-552E-4B76-8F6D-F287FF25A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34018</xdr:colOff>
      <xdr:row>30</xdr:row>
      <xdr:rowOff>166008</xdr:rowOff>
    </xdr:from>
    <xdr:to>
      <xdr:col>27</xdr:col>
      <xdr:colOff>469446</xdr:colOff>
      <xdr:row>45</xdr:row>
      <xdr:rowOff>51708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9636EE42-7C5C-4ECA-BF04-6F6296DD9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334132</xdr:colOff>
      <xdr:row>8</xdr:row>
      <xdr:rowOff>200781</xdr:rowOff>
    </xdr:from>
    <xdr:to>
      <xdr:col>33</xdr:col>
      <xdr:colOff>9073</xdr:colOff>
      <xdr:row>21</xdr:row>
      <xdr:rowOff>50195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71AC869B-A223-4651-9337-07051FA7B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6048</xdr:colOff>
      <xdr:row>9</xdr:row>
      <xdr:rowOff>2723</xdr:rowOff>
    </xdr:from>
    <xdr:to>
      <xdr:col>43</xdr:col>
      <xdr:colOff>293309</xdr:colOff>
      <xdr:row>21</xdr:row>
      <xdr:rowOff>53220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36B301E-2282-48C9-9D24-2A73AF475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571501</xdr:colOff>
      <xdr:row>7</xdr:row>
      <xdr:rowOff>302353</xdr:rowOff>
    </xdr:from>
    <xdr:to>
      <xdr:col>4</xdr:col>
      <xdr:colOff>585108</xdr:colOff>
      <xdr:row>17</xdr:row>
      <xdr:rowOff>54430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67B1D92B-5AA5-42B2-BE05-8C6BC4BE1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294821</xdr:colOff>
      <xdr:row>21</xdr:row>
      <xdr:rowOff>48079</xdr:rowOff>
    </xdr:from>
    <xdr:to>
      <xdr:col>4</xdr:col>
      <xdr:colOff>574190</xdr:colOff>
      <xdr:row>32</xdr:row>
      <xdr:rowOff>89989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553FA0E-7DB1-4B34-B967-94A5CD28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18203</xdr:colOff>
      <xdr:row>7</xdr:row>
      <xdr:rowOff>316472</xdr:rowOff>
    </xdr:from>
    <xdr:to>
      <xdr:col>11</xdr:col>
      <xdr:colOff>117535</xdr:colOff>
      <xdr:row>16</xdr:row>
      <xdr:rowOff>144356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7B00634C-7A77-40E1-9DA4-53314F1E8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598714</xdr:colOff>
      <xdr:row>21</xdr:row>
      <xdr:rowOff>53340</xdr:rowOff>
    </xdr:from>
    <xdr:to>
      <xdr:col>11</xdr:col>
      <xdr:colOff>281940</xdr:colOff>
      <xdr:row>32</xdr:row>
      <xdr:rowOff>15512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E15D8008-6DA3-4587-AE33-E909EC33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27214</xdr:colOff>
      <xdr:row>35</xdr:row>
      <xdr:rowOff>35923</xdr:rowOff>
    </xdr:from>
    <xdr:to>
      <xdr:col>4</xdr:col>
      <xdr:colOff>608511</xdr:colOff>
      <xdr:row>46</xdr:row>
      <xdr:rowOff>56333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A2EF34DB-D94A-435A-BE90-8B3C8C6AF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554082</xdr:colOff>
      <xdr:row>49</xdr:row>
      <xdr:rowOff>94162</xdr:rowOff>
    </xdr:from>
    <xdr:to>
      <xdr:col>5</xdr:col>
      <xdr:colOff>229143</xdr:colOff>
      <xdr:row>61</xdr:row>
      <xdr:rowOff>9798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47CB7B3A-718E-4569-80C1-E5717D112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21166</xdr:colOff>
      <xdr:row>35</xdr:row>
      <xdr:rowOff>184817</xdr:rowOff>
    </xdr:from>
    <xdr:to>
      <xdr:col>11</xdr:col>
      <xdr:colOff>223368</xdr:colOff>
      <xdr:row>46</xdr:row>
      <xdr:rowOff>71060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8517F235-BE19-4D6D-B07C-90D042F75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27214</xdr:colOff>
      <xdr:row>49</xdr:row>
      <xdr:rowOff>90352</xdr:rowOff>
    </xdr:from>
    <xdr:to>
      <xdr:col>11</xdr:col>
      <xdr:colOff>322761</xdr:colOff>
      <xdr:row>60</xdr:row>
      <xdr:rowOff>85453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4EF354AA-66B4-44FB-8A8D-BAFF7A478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11430</xdr:rowOff>
    </xdr:from>
    <xdr:to>
      <xdr:col>7</xdr:col>
      <xdr:colOff>2579370</xdr:colOff>
      <xdr:row>9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3A0A048-96F5-46CC-A731-7BCF52BC3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</xdr:colOff>
      <xdr:row>11</xdr:row>
      <xdr:rowOff>78105</xdr:rowOff>
    </xdr:from>
    <xdr:to>
      <xdr:col>11</xdr:col>
      <xdr:colOff>253365</xdr:colOff>
      <xdr:row>25</xdr:row>
      <xdr:rowOff>150495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B2B4A390-272A-4975-8585-07F461005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62865</xdr:colOff>
      <xdr:row>26</xdr:row>
      <xdr:rowOff>95250</xdr:rowOff>
    </xdr:from>
    <xdr:to>
      <xdr:col>10</xdr:col>
      <xdr:colOff>253365</xdr:colOff>
      <xdr:row>41</xdr:row>
      <xdr:rowOff>9525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757539AE-0B21-43FA-BE91-4F2F5B811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74295</xdr:colOff>
      <xdr:row>41</xdr:row>
      <xdr:rowOff>148590</xdr:rowOff>
    </xdr:from>
    <xdr:to>
      <xdr:col>9</xdr:col>
      <xdr:colOff>577215</xdr:colOff>
      <xdr:row>56</xdr:row>
      <xdr:rowOff>123825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6687E3B8-8521-4800-BE00-99ECC65E3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3</xdr:row>
      <xdr:rowOff>76200</xdr:rowOff>
    </xdr:from>
    <xdr:to>
      <xdr:col>14</xdr:col>
      <xdr:colOff>438150</xdr:colOff>
      <xdr:row>9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13BB9D3E-898E-4FE9-94FF-11F084F46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277041</xdr:colOff>
      <xdr:row>2</xdr:row>
      <xdr:rowOff>10886</xdr:rowOff>
    </xdr:from>
    <xdr:to>
      <xdr:col>11</xdr:col>
      <xdr:colOff>380455</xdr:colOff>
      <xdr:row>9</xdr:row>
      <xdr:rowOff>117566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97348051-8CB9-4BED-A58D-C8F14054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269966</xdr:colOff>
      <xdr:row>12</xdr:row>
      <xdr:rowOff>174716</xdr:rowOff>
    </xdr:from>
    <xdr:to>
      <xdr:col>12</xdr:col>
      <xdr:colOff>327116</xdr:colOff>
      <xdr:row>26</xdr:row>
      <xdr:rowOff>9798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63FA7A25-D354-4556-AF28-B723B2FDD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686344</xdr:colOff>
      <xdr:row>14</xdr:row>
      <xdr:rowOff>170362</xdr:rowOff>
    </xdr:from>
    <xdr:to>
      <xdr:col>17</xdr:col>
      <xdr:colOff>97971</xdr:colOff>
      <xdr:row>21</xdr:row>
      <xdr:rowOff>14442</xdr:rowOff>
    </xdr:to>
    <xdr:sp macro="" textlink="">
      <xdr:nvSpPr>
        <xdr:cNvPr id="5" name="Прямоугольник 4">
          <a:extLst>
            <a:ext uri="{FF2B5EF4-FFF2-40B4-BE49-F238E27FC236}">
              <a16:creationId xmlns="" xmlns:a16="http://schemas.microsoft.com/office/drawing/2014/main" id="{C60F8FBD-0674-4823-825A-38AC8F7FC599}"/>
            </a:ext>
          </a:extLst>
        </xdr:cNvPr>
        <xdr:cNvSpPr/>
      </xdr:nvSpPr>
      <xdr:spPr>
        <a:xfrm>
          <a:off x="9723188" y="3551737"/>
          <a:ext cx="3304971" cy="1177580"/>
        </a:xfrm>
        <a:prstGeom prst="rect">
          <a:avLst/>
        </a:prstGeom>
      </xdr:spPr>
      <xdr:txBody>
        <a:bodyPr wrap="square" lIns="164194" tIns="82112" rIns="164194" bIns="82112">
          <a:spAutoFit/>
        </a:bodyPr>
        <a:lstStyle>
          <a:defPPr lvl="0">
            <a:defRPr lang="ru-RU"/>
          </a:defPPr>
          <a:lvl1pPr marL="0" lvl="1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689629" lvl="2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379282" lvl="3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068907" lvl="4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758550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3448187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4137825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4827462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5517109" algn="l" defTabSz="1379282" rtl="0" eaLnBrk="1" latinLnBrk="0" hangingPunct="1">
            <a:defRPr sz="2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600">
              <a:solidFill>
                <a:srgbClr val="002060"/>
              </a:solidFill>
            </a:rPr>
            <a:t>ОСУЩЕСТВЛЕНА ДОСТАВКА </a:t>
          </a:r>
          <a:r>
            <a:rPr lang="ru-RU" sz="1600" b="1">
              <a:solidFill>
                <a:srgbClr val="E6AF00"/>
              </a:solidFill>
            </a:rPr>
            <a:t>Х тонн</a:t>
          </a:r>
        </a:p>
        <a:p>
          <a:r>
            <a:rPr lang="ru-RU" sz="1600" b="1">
              <a:solidFill>
                <a:srgbClr val="C0504D"/>
              </a:solidFill>
            </a:rPr>
            <a:t>      </a:t>
          </a:r>
          <a:r>
            <a:rPr lang="ru-RU" sz="1600" b="1">
              <a:solidFill>
                <a:schemeClr val="accent4">
                  <a:lumMod val="75000"/>
                </a:schemeClr>
              </a:solidFill>
            </a:rPr>
            <a:t>(АППГ </a:t>
          </a:r>
          <a:r>
            <a:rPr lang="ru-RU" sz="1600" b="1">
              <a:solidFill>
                <a:schemeClr val="accent4">
                  <a:lumMod val="7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тонн)</a:t>
          </a:r>
          <a:br>
            <a:rPr lang="ru-RU" sz="1600" b="1">
              <a:solidFill>
                <a:schemeClr val="accent4">
                  <a:lumMod val="7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ru-RU" sz="1600">
              <a:solidFill>
                <a:srgbClr val="002060"/>
              </a:solidFill>
            </a:rPr>
            <a:t>грузов гуманитарной помощи </a:t>
          </a:r>
        </a:p>
      </xdr:txBody>
    </xdr:sp>
    <xdr:clientData/>
  </xdr:twoCellAnchor>
  <xdr:oneCellAnchor>
    <xdr:from>
      <xdr:col>2</xdr:col>
      <xdr:colOff>2138892</xdr:colOff>
      <xdr:row>33</xdr:row>
      <xdr:rowOff>9525</xdr:rowOff>
    </xdr:from>
    <xdr:ext cx="19216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id="{A7CB2740-DAC1-4E46-9B20-49465D803E73}"/>
                </a:ext>
              </a:extLst>
            </xdr:cNvPr>
            <xdr:cNvSpPr txBox="1"/>
          </xdr:nvSpPr>
          <xdr:spPr>
            <a:xfrm>
              <a:off x="1824567" y="6486525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м</m:t>
                        </m:r>
                      </m:e>
                      <m:sup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="" xmlns:a16="http://schemas.microsoft.com/office/drawing/2014/main" xmlns:a14="http://schemas.microsoft.com/office/drawing/2010/main" id="{A7CB2740-DAC1-4E46-9B20-49465D803E73}"/>
                </a:ext>
              </a:extLst>
            </xdr:cNvPr>
            <xdr:cNvSpPr txBox="1"/>
          </xdr:nvSpPr>
          <xdr:spPr>
            <a:xfrm>
              <a:off x="1824567" y="6486525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м</a:t>
              </a:r>
              <a:r>
                <a:rPr lang="ru-RU" sz="1100" b="0" i="0">
                  <a:latin typeface="Cambria Math"/>
                </a:rPr>
                <a:t>^</a:t>
              </a:r>
              <a:r>
                <a:rPr lang="ru-RU" sz="1100" b="0" i="0">
                  <a:latin typeface="Cambria Math" panose="02040503050406030204" pitchFamily="18" charset="0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2142067</xdr:colOff>
      <xdr:row>34</xdr:row>
      <xdr:rowOff>19050</xdr:rowOff>
    </xdr:from>
    <xdr:ext cx="19216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id="{58E28694-271E-40DA-BD79-A07489499568}"/>
                </a:ext>
              </a:extLst>
            </xdr:cNvPr>
            <xdr:cNvSpPr txBox="1"/>
          </xdr:nvSpPr>
          <xdr:spPr>
            <a:xfrm>
              <a:off x="1827742" y="6686550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м</m:t>
                        </m:r>
                      </m:e>
                      <m:sup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="" xmlns:a16="http://schemas.microsoft.com/office/drawing/2014/main" xmlns:a14="http://schemas.microsoft.com/office/drawing/2010/main" id="{58E28694-271E-40DA-BD79-A07489499568}"/>
                </a:ext>
              </a:extLst>
            </xdr:cNvPr>
            <xdr:cNvSpPr txBox="1"/>
          </xdr:nvSpPr>
          <xdr:spPr>
            <a:xfrm>
              <a:off x="1827742" y="6686550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м</a:t>
              </a:r>
              <a:r>
                <a:rPr lang="ru-RU" sz="1100" b="0" i="0">
                  <a:latin typeface="Cambria Math"/>
                </a:rPr>
                <a:t>^</a:t>
              </a:r>
              <a:r>
                <a:rPr lang="ru-RU" sz="1100" b="0" i="0">
                  <a:latin typeface="Cambria Math" panose="02040503050406030204" pitchFamily="18" charset="0"/>
                </a:rPr>
                <a:t>3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2138892</xdr:colOff>
      <xdr:row>44</xdr:row>
      <xdr:rowOff>9525</xdr:rowOff>
    </xdr:from>
    <xdr:ext cx="19216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="" xmlns:a16="http://schemas.microsoft.com/office/drawing/2014/main" id="{A7CB2740-DAC1-4E46-9B20-49465D803E73}"/>
                </a:ext>
              </a:extLst>
            </xdr:cNvPr>
            <xdr:cNvSpPr txBox="1"/>
          </xdr:nvSpPr>
          <xdr:spPr>
            <a:xfrm>
              <a:off x="3353330" y="7308056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м</m:t>
                        </m:r>
                      </m:e>
                      <m:sup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="" xmlns:a16="http://schemas.microsoft.com/office/drawing/2014/main" xmlns:a14="http://schemas.microsoft.com/office/drawing/2010/main" id="{A7CB2740-DAC1-4E46-9B20-49465D803E73}"/>
                </a:ext>
              </a:extLst>
            </xdr:cNvPr>
            <xdr:cNvSpPr txBox="1"/>
          </xdr:nvSpPr>
          <xdr:spPr>
            <a:xfrm>
              <a:off x="3353330" y="7308056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м</a:t>
              </a:r>
              <a:r>
                <a:rPr lang="ru-RU" sz="1100" b="0" i="0">
                  <a:latin typeface="Cambria Math"/>
                </a:rPr>
                <a:t>^</a:t>
              </a:r>
              <a:r>
                <a:rPr lang="ru-RU" sz="1100" b="0" i="0">
                  <a:latin typeface="Cambria Math" panose="02040503050406030204" pitchFamily="18" charset="0"/>
                </a:rPr>
                <a:t>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2142067</xdr:colOff>
      <xdr:row>45</xdr:row>
      <xdr:rowOff>19050</xdr:rowOff>
    </xdr:from>
    <xdr:ext cx="19216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58E28694-271E-40DA-BD79-A07489499568}"/>
                </a:ext>
              </a:extLst>
            </xdr:cNvPr>
            <xdr:cNvSpPr txBox="1"/>
          </xdr:nvSpPr>
          <xdr:spPr>
            <a:xfrm>
              <a:off x="3356505" y="7508081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м</m:t>
                        </m:r>
                      </m:e>
                      <m:sup>
                        <m:r>
                          <a:rPr lang="ru-RU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xmlns:a14="http://schemas.microsoft.com/office/drawing/2010/main" id="{58E28694-271E-40DA-BD79-A07489499568}"/>
                </a:ext>
              </a:extLst>
            </xdr:cNvPr>
            <xdr:cNvSpPr txBox="1"/>
          </xdr:nvSpPr>
          <xdr:spPr>
            <a:xfrm>
              <a:off x="3356505" y="7508081"/>
              <a:ext cx="19216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1100" b="0" i="0">
                  <a:latin typeface="Cambria Math" panose="02040503050406030204" pitchFamily="18" charset="0"/>
                </a:rPr>
                <a:t>м</a:t>
              </a:r>
              <a:r>
                <a:rPr lang="ru-RU" sz="1100" b="0" i="0">
                  <a:latin typeface="Cambria Math"/>
                </a:rPr>
                <a:t>^</a:t>
              </a:r>
              <a:r>
                <a:rPr lang="ru-RU" sz="1100" b="0" i="0">
                  <a:latin typeface="Cambria Math" panose="02040503050406030204" pitchFamily="18" charset="0"/>
                </a:rPr>
                <a:t>3</a:t>
              </a:r>
              <a:endParaRPr lang="ru-RU" sz="1100"/>
            </a:p>
          </xdr:txBody>
        </xdr:sp>
      </mc:Fallback>
    </mc:AlternateContent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66675</xdr:rowOff>
    </xdr:from>
    <xdr:to>
      <xdr:col>10</xdr:col>
      <xdr:colOff>38100</xdr:colOff>
      <xdr:row>10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68019C1-EE02-4CEE-84F4-F3249F39A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49106</xdr:colOff>
      <xdr:row>1</xdr:row>
      <xdr:rowOff>149435</xdr:rowOff>
    </xdr:from>
    <xdr:to>
      <xdr:col>18</xdr:col>
      <xdr:colOff>1673436</xdr:colOff>
      <xdr:row>12</xdr:row>
      <xdr:rowOff>63076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832F75C-A6B3-4BE0-9609-619AA8E0A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222250</xdr:colOff>
      <xdr:row>2</xdr:row>
      <xdr:rowOff>85513</xdr:rowOff>
    </xdr:from>
    <xdr:to>
      <xdr:col>14</xdr:col>
      <xdr:colOff>375073</xdr:colOff>
      <xdr:row>11</xdr:row>
      <xdr:rowOff>29633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A19692A6-F890-4089-8AD1-FBDC38F6C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202990</xdr:colOff>
      <xdr:row>13</xdr:row>
      <xdr:rowOff>42757</xdr:rowOff>
    </xdr:from>
    <xdr:to>
      <xdr:col>9</xdr:col>
      <xdr:colOff>480061</xdr:colOff>
      <xdr:row>22</xdr:row>
      <xdr:rowOff>157904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63E3CD19-B33E-48A4-9DDD-520D74796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232834</xdr:colOff>
      <xdr:row>24</xdr:row>
      <xdr:rowOff>188384</xdr:rowOff>
    </xdr:from>
    <xdr:to>
      <xdr:col>11</xdr:col>
      <xdr:colOff>317499</xdr:colOff>
      <xdr:row>39</xdr:row>
      <xdr:rowOff>84667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58B3DA52-629C-496D-870E-4AFB022B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243417</xdr:colOff>
      <xdr:row>41</xdr:row>
      <xdr:rowOff>71968</xdr:rowOff>
    </xdr:from>
    <xdr:to>
      <xdr:col>11</xdr:col>
      <xdr:colOff>328082</xdr:colOff>
      <xdr:row>54</xdr:row>
      <xdr:rowOff>158751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58B3DA52-629C-496D-870E-4AFB022B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367938</xdr:colOff>
      <xdr:row>0</xdr:row>
      <xdr:rowOff>76200</xdr:rowOff>
    </xdr:from>
    <xdr:to>
      <xdr:col>11</xdr:col>
      <xdr:colOff>261802</xdr:colOff>
      <xdr:row>9</xdr:row>
      <xdr:rowOff>136071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7CEB70D8-0F05-42C2-AEE0-C016CC4DA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364400</xdr:colOff>
      <xdr:row>10</xdr:row>
      <xdr:rowOff>35718</xdr:rowOff>
    </xdr:from>
    <xdr:to>
      <xdr:col>20</xdr:col>
      <xdr:colOff>500062</xdr:colOff>
      <xdr:row>26</xdr:row>
      <xdr:rowOff>166687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EFC2A50F-20E7-4CD0-BD97-C4316C8AB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373175</xdr:colOff>
      <xdr:row>27</xdr:row>
      <xdr:rowOff>11908</xdr:rowOff>
    </xdr:from>
    <xdr:to>
      <xdr:col>11</xdr:col>
      <xdr:colOff>552245</xdr:colOff>
      <xdr:row>38</xdr:row>
      <xdr:rowOff>98652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C8F00661-9E5A-4B23-A96C-0745364BB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20</xdr:row>
      <xdr:rowOff>152400</xdr:rowOff>
    </xdr:from>
    <xdr:to>
      <xdr:col>6</xdr:col>
      <xdr:colOff>190501</xdr:colOff>
      <xdr:row>33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7AB489B-2460-4AF4-8305-F1FA4AAF6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200024</xdr:colOff>
      <xdr:row>20</xdr:row>
      <xdr:rowOff>161924</xdr:rowOff>
    </xdr:from>
    <xdr:to>
      <xdr:col>14</xdr:col>
      <xdr:colOff>273844</xdr:colOff>
      <xdr:row>33</xdr:row>
      <xdr:rowOff>178593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31BD33F7-8B7B-49F7-94DB-D686D3F8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266700</xdr:colOff>
      <xdr:row>20</xdr:row>
      <xdr:rowOff>161924</xdr:rowOff>
    </xdr:from>
    <xdr:to>
      <xdr:col>22</xdr:col>
      <xdr:colOff>323850</xdr:colOff>
      <xdr:row>33</xdr:row>
      <xdr:rowOff>200024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D000FA83-7C36-48C9-B56B-5797CA2F5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323849</xdr:colOff>
      <xdr:row>20</xdr:row>
      <xdr:rowOff>152399</xdr:rowOff>
    </xdr:from>
    <xdr:to>
      <xdr:col>30</xdr:col>
      <xdr:colOff>390524</xdr:colOff>
      <xdr:row>33</xdr:row>
      <xdr:rowOff>190499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549A4A2D-764C-41F6-B053-696A7A3E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1</xdr:row>
      <xdr:rowOff>67237</xdr:rowOff>
    </xdr:from>
    <xdr:to>
      <xdr:col>9</xdr:col>
      <xdr:colOff>56030</xdr:colOff>
      <xdr:row>12</xdr:row>
      <xdr:rowOff>112061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E4CA181F-964F-4020-8BAC-219624B0C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41321</xdr:colOff>
      <xdr:row>14</xdr:row>
      <xdr:rowOff>23112</xdr:rowOff>
    </xdr:from>
    <xdr:to>
      <xdr:col>9</xdr:col>
      <xdr:colOff>95249</xdr:colOff>
      <xdr:row>25</xdr:row>
      <xdr:rowOff>67936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45655898-B670-4D52-A823-AFA79170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-1</xdr:colOff>
      <xdr:row>1</xdr:row>
      <xdr:rowOff>74239</xdr:rowOff>
    </xdr:from>
    <xdr:to>
      <xdr:col>18</xdr:col>
      <xdr:colOff>11205</xdr:colOff>
      <xdr:row>12</xdr:row>
      <xdr:rowOff>130969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A6A442C5-5786-40CE-86F9-FE9C73A21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1161210</xdr:colOff>
      <xdr:row>13</xdr:row>
      <xdr:rowOff>26614</xdr:rowOff>
    </xdr:from>
    <xdr:to>
      <xdr:col>19</xdr:col>
      <xdr:colOff>565198</xdr:colOff>
      <xdr:row>25</xdr:row>
      <xdr:rowOff>303960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C7F7F224-D5AB-4CE5-98B5-94FBEB547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8404</xdr:colOff>
      <xdr:row>28</xdr:row>
      <xdr:rowOff>700</xdr:rowOff>
    </xdr:from>
    <xdr:to>
      <xdr:col>9</xdr:col>
      <xdr:colOff>62332</xdr:colOff>
      <xdr:row>39</xdr:row>
      <xdr:rowOff>135171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7051EE96-2D9B-4E27-B93B-4F31E9DCE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1159108</xdr:colOff>
      <xdr:row>28</xdr:row>
      <xdr:rowOff>21713</xdr:rowOff>
    </xdr:from>
    <xdr:to>
      <xdr:col>17</xdr:col>
      <xdr:colOff>598814</xdr:colOff>
      <xdr:row>40</xdr:row>
      <xdr:rowOff>77743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9BFC193D-6F6A-4B17-A4B8-13AF2B224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39221</xdr:colOff>
      <xdr:row>41</xdr:row>
      <xdr:rowOff>119062</xdr:rowOff>
    </xdr:from>
    <xdr:to>
      <xdr:col>9</xdr:col>
      <xdr:colOff>93149</xdr:colOff>
      <xdr:row>53</xdr:row>
      <xdr:rowOff>85445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FD987BC0-15A6-433A-919C-64B4334FE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1105880</xdr:colOff>
      <xdr:row>41</xdr:row>
      <xdr:rowOff>22411</xdr:rowOff>
    </xdr:from>
    <xdr:to>
      <xdr:col>17</xdr:col>
      <xdr:colOff>545586</xdr:colOff>
      <xdr:row>53</xdr:row>
      <xdr:rowOff>33618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BB59AA76-E37D-412E-899E-00039A6BD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51828</xdr:colOff>
      <xdr:row>56</xdr:row>
      <xdr:rowOff>25914</xdr:rowOff>
    </xdr:from>
    <xdr:to>
      <xdr:col>9</xdr:col>
      <xdr:colOff>94550</xdr:colOff>
      <xdr:row>69</xdr:row>
      <xdr:rowOff>70738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DAF96633-8D99-463E-AC08-735912B66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1143000</xdr:colOff>
      <xdr:row>55</xdr:row>
      <xdr:rowOff>145676</xdr:rowOff>
    </xdr:from>
    <xdr:to>
      <xdr:col>17</xdr:col>
      <xdr:colOff>582706</xdr:colOff>
      <xdr:row>69</xdr:row>
      <xdr:rowOff>0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DE817965-DB06-4A2D-9D9E-F60628F04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146374</xdr:colOff>
      <xdr:row>70</xdr:row>
      <xdr:rowOff>151279</xdr:rowOff>
    </xdr:from>
    <xdr:to>
      <xdr:col>9</xdr:col>
      <xdr:colOff>798417</xdr:colOff>
      <xdr:row>82</xdr:row>
      <xdr:rowOff>140074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3366585A-CB00-4B41-A087-BA410EE5E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128167</xdr:colOff>
      <xdr:row>83</xdr:row>
      <xdr:rowOff>160383</xdr:rowOff>
    </xdr:from>
    <xdr:to>
      <xdr:col>9</xdr:col>
      <xdr:colOff>780210</xdr:colOff>
      <xdr:row>95</xdr:row>
      <xdr:rowOff>160384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BBB8C612-DA21-4BC9-9514-B064949E5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1079967</xdr:colOff>
      <xdr:row>83</xdr:row>
      <xdr:rowOff>168787</xdr:rowOff>
    </xdr:from>
    <xdr:to>
      <xdr:col>17</xdr:col>
      <xdr:colOff>519673</xdr:colOff>
      <xdr:row>96</xdr:row>
      <xdr:rowOff>23111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CEA1808C-28A1-4FA1-A975-AABB99696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16</xdr:row>
      <xdr:rowOff>519546</xdr:rowOff>
    </xdr:from>
    <xdr:to>
      <xdr:col>25</xdr:col>
      <xdr:colOff>-1</xdr:colOff>
      <xdr:row>25</xdr:row>
      <xdr:rowOff>242455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14</xdr:col>
      <xdr:colOff>2597</xdr:colOff>
      <xdr:row>11</xdr:row>
      <xdr:rowOff>174914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571499</xdr:colOff>
      <xdr:row>11</xdr:row>
      <xdr:rowOff>381000</xdr:rowOff>
    </xdr:from>
    <xdr:to>
      <xdr:col>13</xdr:col>
      <xdr:colOff>574097</xdr:colOff>
      <xdr:row>16</xdr:row>
      <xdr:rowOff>272639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7%20(3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zarov.m.i/AppData/Local/Temp/Temp1_5.%20&#1044;&#1083;&#1103;%20&#1052;&#1063;&#1057;%20&#1052;&#1077;&#1076;&#1080;&#1072;.zip/5.%20&#1044;&#1083;&#1103;%20&#1052;&#1063;&#1057;%20&#1052;&#1077;&#1076;&#1080;&#1072;/&#1043;&#1083;&#1072;&#1074;&#1072;%201/&#1055;&#1091;&#1085;&#1082;&#1090;%201.1/&#1044;&#1072;&#1085;&#1085;&#1099;&#1077;%20&#1086;&#1090;%20&#1054;&#1057;&#1080;&#1040;&#1051;&#1063;&#1057;%20&#1076;&#1083;&#1103;%20&#1043;&#1044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8047/Desktop/&#1055;&#1086;&#1083;&#1085;&#1072;&#1103;%20&#1075;&#1083;&#1072;&#1074;&#1072;%201%20+%20&#1090;&#1072;&#107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8047/Downloads/&#1055;&#1086;&#1083;&#1085;&#1072;&#1103;%20&#1075;&#1083;&#1072;&#1074;&#1072;%201.30%20&#1041;&#104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 (3)"/>
      <sheetName val="Рис. 3.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.1"/>
      <sheetName val="Таблица 1.2"/>
      <sheetName val="Таблица 1.3"/>
      <sheetName val="Таблица 1.4"/>
      <sheetName val="Таблица 1.13"/>
      <sheetName val="Таблица 4.1."/>
      <sheetName val="Таблица 4.2."/>
      <sheetName val="Таблица 4.3."/>
    </sheetNames>
    <sheetDataSet>
      <sheetData sheetId="0"/>
      <sheetData sheetId="1">
        <row r="3">
          <cell r="A3" t="str">
            <v>ДФО</v>
          </cell>
        </row>
      </sheetData>
      <sheetData sheetId="2">
        <row r="4">
          <cell r="A4" t="str">
            <v>Техногенные ЧС</v>
          </cell>
        </row>
        <row r="40">
          <cell r="B40">
            <v>190</v>
          </cell>
          <cell r="C40">
            <v>164</v>
          </cell>
        </row>
        <row r="42">
          <cell r="A42" t="str">
            <v>Природные ЧС</v>
          </cell>
        </row>
        <row r="89">
          <cell r="B89">
            <v>108</v>
          </cell>
          <cell r="C89">
            <v>57</v>
          </cell>
        </row>
        <row r="90">
          <cell r="A90" t="str">
            <v>Природные чрезвычайные ситуации, связанные с биологической опасностью</v>
          </cell>
        </row>
        <row r="94">
          <cell r="B94">
            <v>86</v>
          </cell>
          <cell r="C94">
            <v>21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5 ПСФ"/>
      <sheetName val="1.22 ДПО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.1+ общее"/>
      <sheetName val="1.1 оперативные показатели"/>
      <sheetName val="1.2 Пожары"/>
      <sheetName val="1.3 Водные объекты"/>
      <sheetName val="1.4 дтп "/>
      <sheetName val="1.5 ЧС техноген"/>
      <sheetName val="1.6 ЧС техноген ФО"/>
      <sheetName val="1.7 ЧС природные"/>
      <sheetName val="1.8 ЧС природ ФО"/>
      <sheetName val="1.9 Биолог"/>
      <sheetName val="1.10 Заболевания людей"/>
      <sheetName val="Таблица 1.3+"/>
      <sheetName val="1,3 разделенная"/>
      <sheetName val="1.11 Эпизоотии"/>
      <sheetName val="1.12 Эпифитотии"/>
      <sheetName val="1.13 ЦУКС"/>
      <sheetName val="1.14 СМИ Организация информиров"/>
      <sheetName val="1.15 ПСФ"/>
      <sheetName val="1.16 СВФ"/>
      <sheetName val="1.17 РПП"/>
      <sheetName val="1.18 ВГCЧ"/>
      <sheetName val="1.19 ПфВЧ"/>
      <sheetName val="1.20 СПО ФПС"/>
      <sheetName val="1.21 Психологи"/>
      <sheetName val="1.22 ДПО"/>
      <sheetName val="1.23 Надзор ЗНТЧС "/>
      <sheetName val="1.24 ГПН"/>
      <sheetName val="1.25 Лицензир-е"/>
      <sheetName val="1.26 ГИМС"/>
      <sheetName val="1.27 ЧГР"/>
      <sheetName val="1.28 ГП ДНР ЛНР ХО ЗО"/>
      <sheetName val="1.29 авиац-е обесп-е"/>
      <sheetName val="1.30 БАС"/>
      <sheetName val="1.31 Показатель Риск"/>
      <sheetName val="1.32 Показатель ЗН от ЧС"/>
      <sheetName val="1.33 Сведения по ПОО"/>
      <sheetName val="Таблица 1.4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2" t="str">
            <v>2022 г.</v>
          </cell>
        </row>
        <row r="30">
          <cell r="B30" t="str">
            <v xml:space="preserve">Плановые </v>
          </cell>
          <cell r="H30" t="str">
            <v>Количество выданных предписаний</v>
          </cell>
        </row>
        <row r="31">
          <cell r="B31" t="str">
            <v>Внеплановые</v>
          </cell>
        </row>
      </sheetData>
      <sheetData sheetId="27">
        <row r="6">
          <cell r="D6" t="str">
            <v>2022 г.</v>
          </cell>
        </row>
        <row r="8">
          <cell r="X8" t="str">
            <v>ДФО</v>
          </cell>
        </row>
        <row r="9">
          <cell r="X9" t="str">
            <v>СФО</v>
          </cell>
        </row>
        <row r="10">
          <cell r="X10" t="str">
            <v>УФО</v>
          </cell>
        </row>
        <row r="11">
          <cell r="X11" t="str">
            <v>ПФО</v>
          </cell>
        </row>
        <row r="12">
          <cell r="X12" t="str">
            <v>ЮФО</v>
          </cell>
        </row>
        <row r="13">
          <cell r="X13" t="str">
            <v>СКФО</v>
          </cell>
        </row>
        <row r="14">
          <cell r="X14" t="str">
            <v>СЗФО</v>
          </cell>
        </row>
        <row r="15">
          <cell r="X15" t="str">
            <v>ЦФО</v>
          </cell>
        </row>
      </sheetData>
      <sheetData sheetId="28">
        <row r="4">
          <cell r="D4" t="str">
            <v>2022 г.</v>
          </cell>
        </row>
        <row r="5">
          <cell r="C5" t="str">
            <v>маломерных судов</v>
          </cell>
        </row>
        <row r="6">
          <cell r="C6" t="str">
            <v>аттестованных судоводителей, всего</v>
          </cell>
        </row>
        <row r="17">
          <cell r="C17" t="str">
            <v>база (сооружение) для стоянок маломерных судов</v>
          </cell>
        </row>
        <row r="18">
          <cell r="C18" t="str">
            <v>переправа (кроме паромных переправ), на которых используются маломерные суда</v>
          </cell>
        </row>
        <row r="19">
          <cell r="C19" t="str">
            <v>пляжей, специально оборудованных  для купания</v>
          </cell>
        </row>
        <row r="20">
          <cell r="C20" t="str">
            <v>ледовых переправ</v>
          </cell>
        </row>
        <row r="21">
          <cell r="C21" t="str">
            <v>наплавных мостов за пределами ВВП РФ</v>
          </cell>
        </row>
        <row r="30">
          <cell r="C30" t="str">
            <v>услуги по регистрации
маломерных судов</v>
          </cell>
        </row>
        <row r="31">
          <cell r="C31" t="str">
            <v>услуги по аттестации на право управления маломерным судном</v>
          </cell>
        </row>
        <row r="32">
          <cell r="C32" t="str">
            <v>услуг по свидетельствованию маломерных судов</v>
          </cell>
        </row>
        <row r="45">
          <cell r="C45" t="str">
            <v>нарушений</v>
          </cell>
        </row>
        <row r="46">
          <cell r="C46" t="str">
            <v>штрафов</v>
          </cell>
        </row>
        <row r="47">
          <cell r="C47" t="str">
            <v>патрулирований на водных объектах</v>
          </cell>
        </row>
      </sheetData>
      <sheetData sheetId="29">
        <row r="3">
          <cell r="D3" t="str">
            <v xml:space="preserve">2022 г. 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.1+ общее"/>
      <sheetName val="Таблица 1.3+"/>
      <sheetName val="1,3 разделенная"/>
      <sheetName val="1.30 БАС"/>
      <sheetName val="Лист1"/>
      <sheetName val="Таблица 1.4+"/>
    </sheetNames>
    <sheetDataSet>
      <sheetData sheetId="0"/>
      <sheetData sheetId="1"/>
      <sheetData sheetId="2"/>
      <sheetData sheetId="3">
        <row r="2">
          <cell r="C2" t="str">
            <v>2022 г.</v>
          </cell>
        </row>
        <row r="15">
          <cell r="B15" t="str">
            <v>для ликвидации ЧС</v>
          </cell>
        </row>
        <row r="16">
          <cell r="B16" t="str">
            <v>для авиационного сопровождения подтоплений (затоплений)</v>
          </cell>
        </row>
        <row r="17">
          <cell r="B17" t="str">
            <v>для авиационного сопровождения техногенных пожаров</v>
          </cell>
        </row>
        <row r="18">
          <cell r="B18" t="str">
            <v>для проведения поисково-
спасательных работ</v>
          </cell>
        </row>
        <row r="19">
          <cell r="B19" t="str">
            <v>для иных целей (межведомственное взаимодействие)</v>
          </cell>
        </row>
        <row r="20">
          <cell r="B20" t="str">
            <v>для мониторинга паводковой обстановки и водных объектов</v>
          </cell>
        </row>
        <row r="21">
          <cell r="B21" t="str">
            <v>для мониторинга лесопожарной обстановки</v>
          </cell>
        </row>
        <row r="22">
          <cell r="B22" t="str">
            <v>для КШУ, КШТ, ПТУ</v>
          </cell>
        </row>
        <row r="23">
          <cell r="B23" t="str">
            <v>для построения ортофотопланов</v>
          </cell>
        </row>
        <row r="24">
          <cell r="B24" t="str">
            <v>для мониторинга ледовой обстановки, автодорог, мест купания и выхода людей на лёд
и т.д.</v>
          </cell>
        </row>
        <row r="32">
          <cell r="B32" t="str">
            <v xml:space="preserve">беспилотных авиационных систем на вооружении МЧС России </v>
          </cell>
        </row>
        <row r="33">
          <cell r="B33" t="str">
            <v xml:space="preserve">самолетного типа </v>
          </cell>
        </row>
        <row r="34">
          <cell r="B34" t="str">
            <v xml:space="preserve">вертолетного типа </v>
          </cell>
        </row>
        <row r="35">
          <cell r="B35" t="str">
            <v xml:space="preserve">комбинированного типа 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1" displayName="Таблица1" ref="A5:B11" totalsRowShown="0" headerRowDxfId="3" dataDxfId="2">
  <tableColumns count="2">
    <tableColumn id="1" name="Распределение РОО по типам" dataDxfId="1"/>
    <tableColumn id="2" name="2024 г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3"/>
  <sheetViews>
    <sheetView zoomScale="70" zoomScaleNormal="70" workbookViewId="0">
      <selection activeCell="AT16" sqref="AT16"/>
    </sheetView>
  </sheetViews>
  <sheetFormatPr defaultColWidth="9.140625" defaultRowHeight="12.75" x14ac:dyDescent="0.25"/>
  <cols>
    <col min="1" max="1" width="45.7109375" style="21" customWidth="1"/>
    <col min="2" max="2" width="9.140625" style="21" customWidth="1"/>
    <col min="3" max="8" width="9.140625" style="21"/>
    <col min="9" max="9" width="10.140625" style="21" customWidth="1"/>
    <col min="10" max="19" width="9.140625" style="21"/>
    <col min="20" max="20" width="31.140625" style="21" customWidth="1"/>
    <col min="21" max="28" width="9.140625" style="21"/>
    <col min="29" max="29" width="43.140625" style="21" customWidth="1"/>
    <col min="30" max="45" width="9.140625" style="21"/>
    <col min="46" max="46" width="44.7109375" style="21" customWidth="1"/>
    <col min="47" max="16384" width="9.140625" style="21"/>
  </cols>
  <sheetData>
    <row r="1" spans="1:60" ht="27.75" customHeight="1" thickBot="1" x14ac:dyDescent="0.3">
      <c r="A1" s="223" t="s">
        <v>14</v>
      </c>
      <c r="B1" s="220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2"/>
      <c r="AC1" s="223" t="s">
        <v>14</v>
      </c>
      <c r="AD1" s="220" t="s">
        <v>0</v>
      </c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2"/>
      <c r="AT1" s="223" t="s">
        <v>14</v>
      </c>
      <c r="AU1" s="220" t="s">
        <v>0</v>
      </c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2"/>
    </row>
    <row r="2" spans="1:60" ht="42" customHeight="1" thickBot="1" x14ac:dyDescent="0.3">
      <c r="A2" s="224"/>
      <c r="B2" s="220" t="s">
        <v>2</v>
      </c>
      <c r="C2" s="222"/>
      <c r="D2" s="41" t="s">
        <v>123</v>
      </c>
      <c r="E2" s="42"/>
      <c r="F2" s="41" t="s">
        <v>3</v>
      </c>
      <c r="G2" s="42"/>
      <c r="H2" s="41" t="s">
        <v>4</v>
      </c>
      <c r="I2" s="42"/>
      <c r="J2" s="41" t="s">
        <v>5</v>
      </c>
      <c r="K2" s="42"/>
      <c r="L2" s="41" t="s">
        <v>6</v>
      </c>
      <c r="M2" s="42"/>
      <c r="N2" s="41" t="s">
        <v>7</v>
      </c>
      <c r="O2" s="42"/>
      <c r="T2" s="24"/>
      <c r="AC2" s="224"/>
      <c r="AD2" s="220" t="s">
        <v>2</v>
      </c>
      <c r="AE2" s="222"/>
      <c r="AF2" s="41" t="s">
        <v>123</v>
      </c>
      <c r="AG2" s="42"/>
      <c r="AH2" s="41" t="s">
        <v>3</v>
      </c>
      <c r="AI2" s="42"/>
      <c r="AJ2" s="41" t="s">
        <v>4</v>
      </c>
      <c r="AK2" s="42"/>
      <c r="AL2" s="41" t="s">
        <v>5</v>
      </c>
      <c r="AM2" s="42"/>
      <c r="AN2" s="41" t="s">
        <v>6</v>
      </c>
      <c r="AO2" s="42"/>
      <c r="AP2" s="41" t="s">
        <v>7</v>
      </c>
      <c r="AQ2" s="42"/>
      <c r="AT2" s="224"/>
      <c r="AU2" s="220" t="s">
        <v>2</v>
      </c>
      <c r="AV2" s="222"/>
      <c r="AW2" s="41" t="s">
        <v>123</v>
      </c>
      <c r="AX2" s="42"/>
      <c r="AY2" s="41" t="s">
        <v>3</v>
      </c>
      <c r="AZ2" s="42"/>
      <c r="BA2" s="41" t="s">
        <v>4</v>
      </c>
      <c r="BB2" s="42"/>
      <c r="BC2" s="41" t="s">
        <v>5</v>
      </c>
      <c r="BD2" s="42"/>
      <c r="BE2" s="41" t="s">
        <v>6</v>
      </c>
      <c r="BF2" s="42"/>
      <c r="BG2" s="41" t="s">
        <v>7</v>
      </c>
      <c r="BH2" s="42"/>
    </row>
    <row r="3" spans="1:60" ht="39.75" customHeight="1" thickBot="1" x14ac:dyDescent="0.3">
      <c r="A3" s="225"/>
      <c r="B3" s="36" t="s">
        <v>122</v>
      </c>
      <c r="C3" s="36" t="s">
        <v>222</v>
      </c>
      <c r="D3" s="36" t="s">
        <v>122</v>
      </c>
      <c r="E3" s="36" t="s">
        <v>222</v>
      </c>
      <c r="F3" s="36" t="s">
        <v>122</v>
      </c>
      <c r="G3" s="36" t="s">
        <v>222</v>
      </c>
      <c r="H3" s="36" t="s">
        <v>122</v>
      </c>
      <c r="I3" s="36" t="s">
        <v>222</v>
      </c>
      <c r="J3" s="36" t="s">
        <v>122</v>
      </c>
      <c r="K3" s="36" t="s">
        <v>222</v>
      </c>
      <c r="L3" s="36" t="s">
        <v>122</v>
      </c>
      <c r="M3" s="36" t="s">
        <v>222</v>
      </c>
      <c r="N3" s="36" t="s">
        <v>122</v>
      </c>
      <c r="O3" s="36" t="s">
        <v>222</v>
      </c>
      <c r="T3" s="24"/>
      <c r="AC3" s="225"/>
      <c r="AD3" s="36" t="s">
        <v>122</v>
      </c>
      <c r="AE3" s="36" t="s">
        <v>222</v>
      </c>
      <c r="AF3" s="36" t="s">
        <v>122</v>
      </c>
      <c r="AG3" s="36" t="s">
        <v>222</v>
      </c>
      <c r="AH3" s="36" t="s">
        <v>122</v>
      </c>
      <c r="AI3" s="36" t="s">
        <v>222</v>
      </c>
      <c r="AJ3" s="36" t="s">
        <v>122</v>
      </c>
      <c r="AK3" s="36" t="s">
        <v>222</v>
      </c>
      <c r="AL3" s="36" t="s">
        <v>122</v>
      </c>
      <c r="AM3" s="36" t="s">
        <v>222</v>
      </c>
      <c r="AN3" s="36" t="s">
        <v>122</v>
      </c>
      <c r="AO3" s="36" t="s">
        <v>222</v>
      </c>
      <c r="AP3" s="36" t="s">
        <v>122</v>
      </c>
      <c r="AQ3" s="36" t="s">
        <v>222</v>
      </c>
      <c r="AT3" s="225"/>
      <c r="AU3" s="36" t="s">
        <v>122</v>
      </c>
      <c r="AV3" s="36" t="s">
        <v>222</v>
      </c>
      <c r="AW3" s="36" t="s">
        <v>122</v>
      </c>
      <c r="AX3" s="36" t="s">
        <v>222</v>
      </c>
      <c r="AY3" s="36" t="s">
        <v>122</v>
      </c>
      <c r="AZ3" s="36" t="s">
        <v>222</v>
      </c>
      <c r="BA3" s="36" t="s">
        <v>122</v>
      </c>
      <c r="BB3" s="36" t="s">
        <v>222</v>
      </c>
      <c r="BC3" s="36" t="s">
        <v>122</v>
      </c>
      <c r="BD3" s="36" t="s">
        <v>222</v>
      </c>
      <c r="BE3" s="36" t="s">
        <v>122</v>
      </c>
      <c r="BF3" s="36" t="s">
        <v>222</v>
      </c>
      <c r="BG3" s="36" t="s">
        <v>122</v>
      </c>
      <c r="BH3" s="36" t="s">
        <v>222</v>
      </c>
    </row>
    <row r="4" spans="1:60" ht="21" customHeight="1" thickBot="1" x14ac:dyDescent="0.3">
      <c r="A4" s="217" t="s">
        <v>11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T4" s="24"/>
      <c r="AC4" s="226" t="s">
        <v>12</v>
      </c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T4" s="227" t="s">
        <v>212</v>
      </c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8"/>
    </row>
    <row r="5" spans="1:60" s="22" customFormat="1" ht="21.6" customHeight="1" thickBot="1" x14ac:dyDescent="0.3">
      <c r="A5" s="12" t="s">
        <v>126</v>
      </c>
      <c r="B5" s="18">
        <f>SUM(D5,F5,H5,J5,L5,N5)</f>
        <v>64</v>
      </c>
      <c r="C5" s="18">
        <f>SUM(E5,G5,I5,K5,M5,O5)</f>
        <v>0</v>
      </c>
      <c r="D5" s="18">
        <f>SUM(D6:D13)</f>
        <v>26</v>
      </c>
      <c r="E5" s="18">
        <f t="shared" ref="E5:O5" si="0">SUM(E6:E13)</f>
        <v>0</v>
      </c>
      <c r="F5" s="18">
        <f>SUM(F6:F13)</f>
        <v>38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AC5" s="12" t="s">
        <v>163</v>
      </c>
      <c r="AD5" s="18">
        <f>SUM(AF5,AH5,AJ5,AL5,AN5,AP5)</f>
        <v>0</v>
      </c>
      <c r="AE5" s="18">
        <f>SUM(AG5,AI5,AK5,AM5,AO5,AQ5)</f>
        <v>0</v>
      </c>
      <c r="AF5" s="18">
        <f t="shared" ref="AF5:AQ5" si="1">SUM(AF6:AF7)</f>
        <v>0</v>
      </c>
      <c r="AG5" s="18">
        <f t="shared" si="1"/>
        <v>0</v>
      </c>
      <c r="AH5" s="18">
        <f t="shared" si="1"/>
        <v>0</v>
      </c>
      <c r="AI5" s="18">
        <f t="shared" si="1"/>
        <v>0</v>
      </c>
      <c r="AJ5" s="18">
        <f t="shared" si="1"/>
        <v>0</v>
      </c>
      <c r="AK5" s="18">
        <f t="shared" si="1"/>
        <v>0</v>
      </c>
      <c r="AL5" s="18">
        <f t="shared" si="1"/>
        <v>0</v>
      </c>
      <c r="AM5" s="18">
        <f t="shared" si="1"/>
        <v>0</v>
      </c>
      <c r="AN5" s="18">
        <f t="shared" si="1"/>
        <v>0</v>
      </c>
      <c r="AO5" s="18">
        <f t="shared" si="1"/>
        <v>0</v>
      </c>
      <c r="AP5" s="18">
        <f t="shared" si="1"/>
        <v>0</v>
      </c>
      <c r="AQ5" s="18">
        <f t="shared" si="1"/>
        <v>0</v>
      </c>
      <c r="AT5" s="12" t="s">
        <v>211</v>
      </c>
      <c r="AU5" s="18">
        <f>SUM(AW5,AY5,BA5,BC5,BE5,BG5)</f>
        <v>1</v>
      </c>
      <c r="AV5" s="18">
        <f t="shared" ref="AV5:AV7" si="2">SUM(AX5,AZ5,BB5,BD5,BF5,BH5)</f>
        <v>0</v>
      </c>
      <c r="AW5" s="37">
        <v>0</v>
      </c>
      <c r="AX5" s="37">
        <v>0</v>
      </c>
      <c r="AY5" s="37">
        <v>1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</row>
    <row r="6" spans="1:60" ht="27" customHeight="1" thickBot="1" x14ac:dyDescent="0.3">
      <c r="A6" s="11" t="s">
        <v>127</v>
      </c>
      <c r="B6" s="19">
        <f>SUM(D6,F6,H6,J6,L6,N6)</f>
        <v>0</v>
      </c>
      <c r="C6" s="19">
        <f>SUM(E6,G6,I6,K6,M6,O6)</f>
        <v>0</v>
      </c>
      <c r="D6" s="5">
        <v>0</v>
      </c>
      <c r="E6" s="47">
        <v>0</v>
      </c>
      <c r="F6" s="5">
        <v>0</v>
      </c>
      <c r="G6" s="47">
        <v>0</v>
      </c>
      <c r="H6" s="5">
        <v>0</v>
      </c>
      <c r="I6" s="47">
        <v>0</v>
      </c>
      <c r="J6" s="5">
        <v>0</v>
      </c>
      <c r="K6" s="47">
        <v>0</v>
      </c>
      <c r="L6" s="5">
        <v>0</v>
      </c>
      <c r="M6" s="47">
        <v>0</v>
      </c>
      <c r="N6" s="5">
        <v>0</v>
      </c>
      <c r="O6" s="47">
        <v>0</v>
      </c>
      <c r="AC6" s="11" t="s">
        <v>164</v>
      </c>
      <c r="AD6" s="20">
        <f t="shared" ref="AD6:AD12" si="3">SUM(AF6,AH6,AJ6,AL6,AN6,AP6)</f>
        <v>0</v>
      </c>
      <c r="AE6" s="20">
        <f t="shared" ref="AE6:AE30" si="4">SUM(AG6,AI6,AK6,AM6,AO6,AQ6)</f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T6" s="12" t="s">
        <v>209</v>
      </c>
      <c r="AU6" s="18">
        <f t="shared" ref="AU6:AU7" si="5">SUM(AW6,AY6,BA6,BC6,BE6,BG6)</f>
        <v>20</v>
      </c>
      <c r="AV6" s="18">
        <f t="shared" si="2"/>
        <v>0</v>
      </c>
      <c r="AW6" s="37">
        <v>0</v>
      </c>
      <c r="AX6" s="37">
        <v>0</v>
      </c>
      <c r="AY6" s="37">
        <v>18</v>
      </c>
      <c r="AZ6" s="37">
        <v>0</v>
      </c>
      <c r="BA6" s="37">
        <v>2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</row>
    <row r="7" spans="1:60" ht="27" customHeight="1" thickBot="1" x14ac:dyDescent="0.3">
      <c r="A7" s="11" t="s">
        <v>128</v>
      </c>
      <c r="B7" s="19">
        <f t="shared" ref="B7:C13" si="6">SUM(D7,F7,H7,J7,L7,N7)</f>
        <v>8</v>
      </c>
      <c r="C7" s="48">
        <f t="shared" si="6"/>
        <v>0</v>
      </c>
      <c r="D7" s="5">
        <v>3</v>
      </c>
      <c r="E7" s="47">
        <v>0</v>
      </c>
      <c r="F7" s="5">
        <v>5</v>
      </c>
      <c r="G7" s="47">
        <v>0</v>
      </c>
      <c r="H7" s="5">
        <v>0</v>
      </c>
      <c r="I7" s="47">
        <v>0</v>
      </c>
      <c r="J7" s="5">
        <v>0</v>
      </c>
      <c r="K7" s="47">
        <v>0</v>
      </c>
      <c r="L7" s="5">
        <v>0</v>
      </c>
      <c r="M7" s="47">
        <v>0</v>
      </c>
      <c r="N7" s="5">
        <v>0</v>
      </c>
      <c r="O7" s="47">
        <v>0</v>
      </c>
      <c r="AA7" s="21" t="s">
        <v>224</v>
      </c>
      <c r="AC7" s="11" t="s">
        <v>165</v>
      </c>
      <c r="AD7" s="20">
        <f t="shared" si="3"/>
        <v>0</v>
      </c>
      <c r="AE7" s="20">
        <f t="shared" si="4"/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T7" s="12" t="s">
        <v>210</v>
      </c>
      <c r="AU7" s="18">
        <f t="shared" si="5"/>
        <v>0</v>
      </c>
      <c r="AV7" s="18">
        <f t="shared" si="2"/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</row>
    <row r="8" spans="1:60" ht="27" customHeight="1" thickBot="1" x14ac:dyDescent="0.3">
      <c r="A8" s="4" t="s">
        <v>129</v>
      </c>
      <c r="B8" s="19">
        <f t="shared" si="6"/>
        <v>0</v>
      </c>
      <c r="C8" s="48">
        <f t="shared" si="6"/>
        <v>0</v>
      </c>
      <c r="D8" s="5">
        <v>0</v>
      </c>
      <c r="E8" s="47">
        <v>0</v>
      </c>
      <c r="F8" s="5">
        <v>0</v>
      </c>
      <c r="G8" s="47">
        <v>0</v>
      </c>
      <c r="H8" s="5">
        <v>0</v>
      </c>
      <c r="I8" s="47">
        <v>0</v>
      </c>
      <c r="J8" s="5">
        <v>0</v>
      </c>
      <c r="K8" s="47">
        <v>0</v>
      </c>
      <c r="L8" s="5">
        <v>0</v>
      </c>
      <c r="M8" s="47">
        <v>0</v>
      </c>
      <c r="N8" s="5">
        <v>0</v>
      </c>
      <c r="O8" s="47">
        <v>0</v>
      </c>
      <c r="AC8" s="12" t="s">
        <v>166</v>
      </c>
      <c r="AD8" s="18">
        <f t="shared" si="3"/>
        <v>3</v>
      </c>
      <c r="AE8" s="18">
        <f t="shared" si="4"/>
        <v>0</v>
      </c>
      <c r="AF8" s="18">
        <f>SUM(AF9:AF12)</f>
        <v>0</v>
      </c>
      <c r="AG8" s="18">
        <f>SUM(AG9:AG12)</f>
        <v>0</v>
      </c>
      <c r="AH8" s="18">
        <f t="shared" ref="AH8:AQ8" si="7">SUM(AH9:AH12)</f>
        <v>3</v>
      </c>
      <c r="AI8" s="18">
        <f t="shared" si="7"/>
        <v>0</v>
      </c>
      <c r="AJ8" s="18">
        <f t="shared" si="7"/>
        <v>0</v>
      </c>
      <c r="AK8" s="18">
        <f t="shared" si="7"/>
        <v>0</v>
      </c>
      <c r="AL8" s="18">
        <f t="shared" si="7"/>
        <v>0</v>
      </c>
      <c r="AM8" s="18">
        <f t="shared" si="7"/>
        <v>0</v>
      </c>
      <c r="AN8" s="18">
        <f t="shared" si="7"/>
        <v>0</v>
      </c>
      <c r="AO8" s="18">
        <f t="shared" si="7"/>
        <v>0</v>
      </c>
      <c r="AP8" s="18">
        <f t="shared" si="7"/>
        <v>0</v>
      </c>
      <c r="AQ8" s="18">
        <f t="shared" si="7"/>
        <v>0</v>
      </c>
      <c r="AT8" s="32" t="s">
        <v>13</v>
      </c>
      <c r="AU8" s="32">
        <f>SUM(AU2,AU5:AU7)</f>
        <v>21</v>
      </c>
      <c r="AV8" s="32">
        <f t="shared" ref="AV8:BH8" si="8">SUM(AV2,AV5:AV7)</f>
        <v>0</v>
      </c>
      <c r="AW8" s="32">
        <f t="shared" si="8"/>
        <v>0</v>
      </c>
      <c r="AX8" s="32">
        <f t="shared" si="8"/>
        <v>0</v>
      </c>
      <c r="AY8" s="32">
        <f t="shared" si="8"/>
        <v>19</v>
      </c>
      <c r="AZ8" s="32">
        <f t="shared" si="8"/>
        <v>0</v>
      </c>
      <c r="BA8" s="32">
        <f t="shared" si="8"/>
        <v>2</v>
      </c>
      <c r="BB8" s="32">
        <f t="shared" si="8"/>
        <v>0</v>
      </c>
      <c r="BC8" s="32">
        <f t="shared" si="8"/>
        <v>0</v>
      </c>
      <c r="BD8" s="32">
        <f t="shared" si="8"/>
        <v>0</v>
      </c>
      <c r="BE8" s="32">
        <f t="shared" si="8"/>
        <v>0</v>
      </c>
      <c r="BF8" s="32">
        <f t="shared" si="8"/>
        <v>0</v>
      </c>
      <c r="BG8" s="32">
        <f t="shared" si="8"/>
        <v>0</v>
      </c>
      <c r="BH8" s="32">
        <f t="shared" si="8"/>
        <v>0</v>
      </c>
    </row>
    <row r="9" spans="1:60" ht="27" customHeight="1" thickBot="1" x14ac:dyDescent="0.3">
      <c r="A9" s="11" t="s">
        <v>130</v>
      </c>
      <c r="B9" s="19">
        <f t="shared" si="6"/>
        <v>0</v>
      </c>
      <c r="C9" s="48">
        <f t="shared" si="6"/>
        <v>0</v>
      </c>
      <c r="D9" s="5">
        <v>0</v>
      </c>
      <c r="E9" s="47">
        <v>0</v>
      </c>
      <c r="F9" s="5">
        <v>0</v>
      </c>
      <c r="G9" s="47">
        <v>0</v>
      </c>
      <c r="H9" s="5">
        <v>0</v>
      </c>
      <c r="I9" s="47">
        <v>0</v>
      </c>
      <c r="J9" s="5">
        <v>0</v>
      </c>
      <c r="K9" s="47">
        <v>0</v>
      </c>
      <c r="L9" s="5">
        <v>0</v>
      </c>
      <c r="M9" s="47">
        <v>0</v>
      </c>
      <c r="N9" s="5">
        <v>0</v>
      </c>
      <c r="O9" s="47">
        <v>0</v>
      </c>
      <c r="AC9" s="11" t="s">
        <v>167</v>
      </c>
      <c r="AD9" s="20">
        <f t="shared" si="3"/>
        <v>1</v>
      </c>
      <c r="AE9" s="20">
        <f t="shared" si="4"/>
        <v>0</v>
      </c>
      <c r="AF9" s="15">
        <v>0</v>
      </c>
      <c r="AG9" s="15">
        <v>0</v>
      </c>
      <c r="AH9" s="15">
        <v>1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</row>
    <row r="10" spans="1:60" ht="27" customHeight="1" thickBot="1" x14ac:dyDescent="0.3">
      <c r="A10" s="4" t="s">
        <v>131</v>
      </c>
      <c r="B10" s="19">
        <f t="shared" si="6"/>
        <v>30</v>
      </c>
      <c r="C10" s="48">
        <f t="shared" si="6"/>
        <v>0</v>
      </c>
      <c r="D10" s="5">
        <v>5</v>
      </c>
      <c r="E10" s="47">
        <v>0</v>
      </c>
      <c r="F10" s="5">
        <v>25</v>
      </c>
      <c r="G10" s="47">
        <v>0</v>
      </c>
      <c r="H10" s="5">
        <v>0</v>
      </c>
      <c r="I10" s="47">
        <v>0</v>
      </c>
      <c r="J10" s="5">
        <v>0</v>
      </c>
      <c r="K10" s="47">
        <v>0</v>
      </c>
      <c r="L10" s="5">
        <v>0</v>
      </c>
      <c r="M10" s="47">
        <v>0</v>
      </c>
      <c r="N10" s="5">
        <v>0</v>
      </c>
      <c r="O10" s="47">
        <v>0</v>
      </c>
      <c r="AC10" s="11" t="s">
        <v>168</v>
      </c>
      <c r="AD10" s="20">
        <f t="shared" si="3"/>
        <v>2</v>
      </c>
      <c r="AE10" s="20">
        <f t="shared" si="4"/>
        <v>0</v>
      </c>
      <c r="AF10" s="15">
        <v>0</v>
      </c>
      <c r="AG10" s="15">
        <v>0</v>
      </c>
      <c r="AH10" s="15">
        <v>2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</row>
    <row r="11" spans="1:60" ht="27" customHeight="1" thickBot="1" x14ac:dyDescent="0.3">
      <c r="A11" s="4" t="s">
        <v>132</v>
      </c>
      <c r="B11" s="19">
        <f t="shared" si="6"/>
        <v>9</v>
      </c>
      <c r="C11" s="48">
        <f t="shared" si="6"/>
        <v>0</v>
      </c>
      <c r="D11" s="5">
        <v>6</v>
      </c>
      <c r="E11" s="47">
        <v>0</v>
      </c>
      <c r="F11" s="5">
        <v>3</v>
      </c>
      <c r="G11" s="47">
        <v>0</v>
      </c>
      <c r="H11" s="5">
        <v>0</v>
      </c>
      <c r="I11" s="47">
        <v>0</v>
      </c>
      <c r="J11" s="5">
        <v>0</v>
      </c>
      <c r="K11" s="47">
        <v>0</v>
      </c>
      <c r="L11" s="5">
        <v>0</v>
      </c>
      <c r="M11" s="47">
        <v>0</v>
      </c>
      <c r="N11" s="5">
        <v>0</v>
      </c>
      <c r="O11" s="47">
        <v>0</v>
      </c>
      <c r="AC11" s="11" t="s">
        <v>169</v>
      </c>
      <c r="AD11" s="20">
        <f t="shared" si="3"/>
        <v>0</v>
      </c>
      <c r="AE11" s="20">
        <f t="shared" si="4"/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</row>
    <row r="12" spans="1:60" ht="27" customHeight="1" thickBot="1" x14ac:dyDescent="0.3">
      <c r="A12" s="4" t="s">
        <v>133</v>
      </c>
      <c r="B12" s="19">
        <f t="shared" si="6"/>
        <v>17</v>
      </c>
      <c r="C12" s="48">
        <f t="shared" si="6"/>
        <v>0</v>
      </c>
      <c r="D12" s="5">
        <v>12</v>
      </c>
      <c r="E12" s="47">
        <v>0</v>
      </c>
      <c r="F12" s="5">
        <v>5</v>
      </c>
      <c r="G12" s="47">
        <v>0</v>
      </c>
      <c r="H12" s="5">
        <v>0</v>
      </c>
      <c r="I12" s="47">
        <v>0</v>
      </c>
      <c r="J12" s="5">
        <v>0</v>
      </c>
      <c r="K12" s="47">
        <v>0</v>
      </c>
      <c r="L12" s="5">
        <v>0</v>
      </c>
      <c r="M12" s="47">
        <v>0</v>
      </c>
      <c r="N12" s="5">
        <v>0</v>
      </c>
      <c r="O12" s="47">
        <v>0</v>
      </c>
      <c r="AC12" s="11" t="s">
        <v>214</v>
      </c>
      <c r="AD12" s="20">
        <f t="shared" si="3"/>
        <v>0</v>
      </c>
      <c r="AE12" s="20">
        <f t="shared" si="4"/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</row>
    <row r="13" spans="1:60" ht="39" thickBot="1" x14ac:dyDescent="0.3">
      <c r="A13" s="4" t="s">
        <v>134</v>
      </c>
      <c r="B13" s="19">
        <f t="shared" si="6"/>
        <v>0</v>
      </c>
      <c r="C13" s="48">
        <f t="shared" si="6"/>
        <v>0</v>
      </c>
      <c r="D13" s="5">
        <v>0</v>
      </c>
      <c r="E13" s="47">
        <v>0</v>
      </c>
      <c r="F13" s="5">
        <v>0</v>
      </c>
      <c r="G13" s="47">
        <v>0</v>
      </c>
      <c r="H13" s="5">
        <v>0</v>
      </c>
      <c r="I13" s="47">
        <v>0</v>
      </c>
      <c r="J13" s="5">
        <v>0</v>
      </c>
      <c r="K13" s="47">
        <v>0</v>
      </c>
      <c r="L13" s="5">
        <v>0</v>
      </c>
      <c r="M13" s="47">
        <v>0</v>
      </c>
      <c r="N13" s="5">
        <v>0</v>
      </c>
      <c r="O13" s="47">
        <v>0</v>
      </c>
      <c r="AC13" s="12" t="s">
        <v>170</v>
      </c>
      <c r="AD13" s="18">
        <f>SUM(AF13,AH13,AJ13,AL13,AN13,AP13)</f>
        <v>36</v>
      </c>
      <c r="AE13" s="18">
        <f t="shared" si="4"/>
        <v>0</v>
      </c>
      <c r="AF13" s="18">
        <f>SUM(AF14:AF30)</f>
        <v>2</v>
      </c>
      <c r="AG13" s="18">
        <f t="shared" ref="AG13:AQ13" si="9">SUM(AG14:AG30)</f>
        <v>0</v>
      </c>
      <c r="AH13" s="18">
        <f t="shared" si="9"/>
        <v>24</v>
      </c>
      <c r="AI13" s="18">
        <f t="shared" si="9"/>
        <v>0</v>
      </c>
      <c r="AJ13" s="18">
        <f t="shared" si="9"/>
        <v>4</v>
      </c>
      <c r="AK13" s="18">
        <f t="shared" si="9"/>
        <v>0</v>
      </c>
      <c r="AL13" s="18">
        <f t="shared" si="9"/>
        <v>6</v>
      </c>
      <c r="AM13" s="18">
        <f t="shared" si="9"/>
        <v>0</v>
      </c>
      <c r="AN13" s="18">
        <f t="shared" si="9"/>
        <v>0</v>
      </c>
      <c r="AO13" s="18">
        <f t="shared" si="9"/>
        <v>0</v>
      </c>
      <c r="AP13" s="18">
        <f t="shared" si="9"/>
        <v>0</v>
      </c>
      <c r="AQ13" s="18">
        <f t="shared" si="9"/>
        <v>0</v>
      </c>
    </row>
    <row r="14" spans="1:60" s="22" customFormat="1" ht="39" thickBot="1" x14ac:dyDescent="0.3">
      <c r="A14" s="12" t="s">
        <v>135</v>
      </c>
      <c r="B14" s="18">
        <f>SUM(D14,F14,H14,J14,L14,N14)</f>
        <v>83</v>
      </c>
      <c r="C14" s="18">
        <f t="shared" ref="B14:C39" si="10">SUM(E14,G14,I14,K14,M14,O14)</f>
        <v>0</v>
      </c>
      <c r="D14" s="18">
        <f>SUM(D15:D21)</f>
        <v>28</v>
      </c>
      <c r="E14" s="18">
        <f t="shared" ref="E14:O14" si="11">SUM(E15:E21)</f>
        <v>0</v>
      </c>
      <c r="F14" s="18">
        <f>SUM(F15:F21)</f>
        <v>48</v>
      </c>
      <c r="G14" s="18">
        <f t="shared" si="11"/>
        <v>0</v>
      </c>
      <c r="H14" s="18">
        <f t="shared" si="11"/>
        <v>0</v>
      </c>
      <c r="I14" s="18">
        <f t="shared" si="11"/>
        <v>0</v>
      </c>
      <c r="J14" s="18">
        <f>SUM(J15:J21)</f>
        <v>7</v>
      </c>
      <c r="K14" s="18">
        <f t="shared" si="11"/>
        <v>0</v>
      </c>
      <c r="L14" s="18">
        <f t="shared" si="11"/>
        <v>0</v>
      </c>
      <c r="M14" s="18">
        <f t="shared" si="11"/>
        <v>0</v>
      </c>
      <c r="N14" s="18">
        <f t="shared" si="11"/>
        <v>0</v>
      </c>
      <c r="O14" s="18">
        <f t="shared" si="11"/>
        <v>0</v>
      </c>
      <c r="AC14" s="11" t="s">
        <v>187</v>
      </c>
      <c r="AD14" s="20">
        <f t="shared" ref="AD14:AD35" si="12">SUM(AF14,AH14,AJ14,AL14,AN14,AP14)</f>
        <v>9</v>
      </c>
      <c r="AE14" s="20">
        <f t="shared" si="4"/>
        <v>0</v>
      </c>
      <c r="AF14" s="15">
        <v>0</v>
      </c>
      <c r="AG14" s="49">
        <v>0</v>
      </c>
      <c r="AH14" s="15">
        <v>7</v>
      </c>
      <c r="AI14" s="49">
        <v>0</v>
      </c>
      <c r="AJ14" s="15">
        <v>1</v>
      </c>
      <c r="AK14" s="49">
        <v>0</v>
      </c>
      <c r="AL14" s="15">
        <v>1</v>
      </c>
      <c r="AM14" s="49">
        <v>0</v>
      </c>
      <c r="AN14" s="15">
        <v>0</v>
      </c>
      <c r="AO14" s="49">
        <v>0</v>
      </c>
      <c r="AP14" s="15">
        <v>0</v>
      </c>
      <c r="AQ14" s="49">
        <v>0</v>
      </c>
    </row>
    <row r="15" spans="1:60" ht="51.75" thickBot="1" x14ac:dyDescent="0.3">
      <c r="A15" s="4" t="s">
        <v>136</v>
      </c>
      <c r="B15" s="19">
        <f t="shared" si="10"/>
        <v>19</v>
      </c>
      <c r="C15" s="48">
        <f t="shared" si="10"/>
        <v>0</v>
      </c>
      <c r="D15" s="5">
        <v>7</v>
      </c>
      <c r="E15" s="47">
        <v>0</v>
      </c>
      <c r="F15" s="5">
        <v>11</v>
      </c>
      <c r="G15" s="47">
        <v>0</v>
      </c>
      <c r="H15" s="5">
        <v>0</v>
      </c>
      <c r="I15" s="47">
        <v>0</v>
      </c>
      <c r="J15" s="5">
        <v>1</v>
      </c>
      <c r="K15" s="47">
        <v>0</v>
      </c>
      <c r="L15" s="5">
        <v>0</v>
      </c>
      <c r="M15" s="47">
        <v>0</v>
      </c>
      <c r="N15" s="5">
        <v>0</v>
      </c>
      <c r="O15" s="47">
        <v>0</v>
      </c>
      <c r="X15" s="21" t="s">
        <v>223</v>
      </c>
      <c r="AC15" s="11" t="s">
        <v>186</v>
      </c>
      <c r="AD15" s="20">
        <f t="shared" si="12"/>
        <v>0</v>
      </c>
      <c r="AE15" s="20">
        <f t="shared" si="4"/>
        <v>0</v>
      </c>
      <c r="AF15" s="15">
        <v>0</v>
      </c>
      <c r="AG15" s="49">
        <v>0</v>
      </c>
      <c r="AH15" s="15">
        <v>0</v>
      </c>
      <c r="AI15" s="49">
        <v>0</v>
      </c>
      <c r="AJ15" s="15">
        <v>0</v>
      </c>
      <c r="AK15" s="49">
        <v>0</v>
      </c>
      <c r="AL15" s="15">
        <v>0</v>
      </c>
      <c r="AM15" s="49">
        <v>0</v>
      </c>
      <c r="AN15" s="15">
        <v>0</v>
      </c>
      <c r="AO15" s="49">
        <v>0</v>
      </c>
      <c r="AP15" s="15">
        <v>0</v>
      </c>
      <c r="AQ15" s="49">
        <v>0</v>
      </c>
    </row>
    <row r="16" spans="1:60" ht="64.5" thickBot="1" x14ac:dyDescent="0.3">
      <c r="A16" s="4" t="s">
        <v>138</v>
      </c>
      <c r="B16" s="19">
        <f t="shared" si="10"/>
        <v>1</v>
      </c>
      <c r="C16" s="48">
        <f t="shared" si="10"/>
        <v>0</v>
      </c>
      <c r="D16" s="5">
        <v>0</v>
      </c>
      <c r="E16" s="47">
        <v>0</v>
      </c>
      <c r="F16" s="5">
        <v>1</v>
      </c>
      <c r="G16" s="47">
        <v>0</v>
      </c>
      <c r="H16" s="5">
        <v>0</v>
      </c>
      <c r="I16" s="47">
        <v>0</v>
      </c>
      <c r="J16" s="5">
        <v>0</v>
      </c>
      <c r="K16" s="47">
        <v>0</v>
      </c>
      <c r="L16" s="5">
        <v>0</v>
      </c>
      <c r="M16" s="47">
        <v>0</v>
      </c>
      <c r="N16" s="5">
        <v>0</v>
      </c>
      <c r="O16" s="47">
        <v>0</v>
      </c>
      <c r="AC16" s="11" t="s">
        <v>171</v>
      </c>
      <c r="AD16" s="20">
        <f t="shared" si="12"/>
        <v>1</v>
      </c>
      <c r="AE16" s="20">
        <f t="shared" si="4"/>
        <v>0</v>
      </c>
      <c r="AF16" s="15">
        <v>0</v>
      </c>
      <c r="AG16" s="49">
        <v>0</v>
      </c>
      <c r="AH16" s="15">
        <v>1</v>
      </c>
      <c r="AI16" s="49">
        <v>0</v>
      </c>
      <c r="AJ16" s="15">
        <v>0</v>
      </c>
      <c r="AK16" s="49">
        <v>0</v>
      </c>
      <c r="AL16" s="15">
        <v>0</v>
      </c>
      <c r="AM16" s="49">
        <v>0</v>
      </c>
      <c r="AN16" s="15">
        <v>0</v>
      </c>
      <c r="AO16" s="49">
        <v>0</v>
      </c>
      <c r="AP16" s="15">
        <v>0</v>
      </c>
      <c r="AQ16" s="49">
        <v>0</v>
      </c>
    </row>
    <row r="17" spans="1:43" ht="39" thickBot="1" x14ac:dyDescent="0.3">
      <c r="A17" s="4" t="s">
        <v>139</v>
      </c>
      <c r="B17" s="19">
        <f t="shared" si="10"/>
        <v>1</v>
      </c>
      <c r="C17" s="48">
        <f t="shared" si="10"/>
        <v>0</v>
      </c>
      <c r="D17" s="5">
        <v>0</v>
      </c>
      <c r="E17" s="47">
        <v>0</v>
      </c>
      <c r="F17" s="5">
        <v>0</v>
      </c>
      <c r="G17" s="47">
        <v>0</v>
      </c>
      <c r="H17" s="5">
        <v>0</v>
      </c>
      <c r="I17" s="47">
        <v>0</v>
      </c>
      <c r="J17" s="5">
        <v>1</v>
      </c>
      <c r="K17" s="47">
        <v>0</v>
      </c>
      <c r="L17" s="5">
        <v>0</v>
      </c>
      <c r="M17" s="47">
        <v>0</v>
      </c>
      <c r="N17" s="5">
        <v>0</v>
      </c>
      <c r="O17" s="47">
        <v>0</v>
      </c>
      <c r="AC17" s="11" t="s">
        <v>172</v>
      </c>
      <c r="AD17" s="20">
        <f t="shared" si="12"/>
        <v>5</v>
      </c>
      <c r="AE17" s="20">
        <f t="shared" si="4"/>
        <v>0</v>
      </c>
      <c r="AF17" s="15">
        <v>0</v>
      </c>
      <c r="AG17" s="49">
        <v>0</v>
      </c>
      <c r="AH17" s="15">
        <v>1</v>
      </c>
      <c r="AI17" s="49">
        <v>0</v>
      </c>
      <c r="AJ17" s="15">
        <v>1</v>
      </c>
      <c r="AK17" s="49">
        <v>0</v>
      </c>
      <c r="AL17" s="15">
        <v>3</v>
      </c>
      <c r="AM17" s="49">
        <v>0</v>
      </c>
      <c r="AN17" s="15">
        <v>0</v>
      </c>
      <c r="AO17" s="49">
        <v>0</v>
      </c>
      <c r="AP17" s="15">
        <v>0</v>
      </c>
      <c r="AQ17" s="49">
        <v>0</v>
      </c>
    </row>
    <row r="18" spans="1:43" ht="51.75" thickBot="1" x14ac:dyDescent="0.3">
      <c r="A18" s="4" t="s">
        <v>140</v>
      </c>
      <c r="B18" s="19">
        <f t="shared" si="10"/>
        <v>0</v>
      </c>
      <c r="C18" s="48">
        <f t="shared" si="10"/>
        <v>0</v>
      </c>
      <c r="D18" s="5">
        <v>0</v>
      </c>
      <c r="E18" s="47">
        <v>0</v>
      </c>
      <c r="F18" s="5">
        <v>0</v>
      </c>
      <c r="G18" s="47">
        <v>0</v>
      </c>
      <c r="H18" s="5">
        <v>0</v>
      </c>
      <c r="I18" s="47">
        <v>0</v>
      </c>
      <c r="J18" s="5">
        <v>0</v>
      </c>
      <c r="K18" s="47">
        <v>0</v>
      </c>
      <c r="L18" s="5">
        <v>0</v>
      </c>
      <c r="M18" s="47">
        <v>0</v>
      </c>
      <c r="N18" s="5">
        <v>0</v>
      </c>
      <c r="O18" s="47">
        <v>0</v>
      </c>
      <c r="AC18" s="11" t="s">
        <v>173</v>
      </c>
      <c r="AD18" s="20">
        <f t="shared" si="12"/>
        <v>1</v>
      </c>
      <c r="AE18" s="20">
        <f t="shared" si="4"/>
        <v>0</v>
      </c>
      <c r="AF18" s="15">
        <v>0</v>
      </c>
      <c r="AG18" s="49">
        <v>0</v>
      </c>
      <c r="AH18" s="15">
        <v>0</v>
      </c>
      <c r="AI18" s="49">
        <v>0</v>
      </c>
      <c r="AJ18" s="15">
        <v>1</v>
      </c>
      <c r="AK18" s="49">
        <v>0</v>
      </c>
      <c r="AL18" s="15">
        <v>0</v>
      </c>
      <c r="AM18" s="49">
        <v>0</v>
      </c>
      <c r="AN18" s="15">
        <v>0</v>
      </c>
      <c r="AO18" s="49">
        <v>0</v>
      </c>
      <c r="AP18" s="15">
        <v>0</v>
      </c>
      <c r="AQ18" s="49">
        <v>0</v>
      </c>
    </row>
    <row r="19" spans="1:43" ht="39" thickBot="1" x14ac:dyDescent="0.3">
      <c r="A19" s="4" t="s">
        <v>141</v>
      </c>
      <c r="B19" s="19">
        <f t="shared" si="10"/>
        <v>2</v>
      </c>
      <c r="C19" s="48">
        <f t="shared" si="10"/>
        <v>0</v>
      </c>
      <c r="D19" s="5">
        <v>0</v>
      </c>
      <c r="E19" s="47">
        <v>0</v>
      </c>
      <c r="F19" s="5">
        <v>1</v>
      </c>
      <c r="G19" s="47">
        <v>0</v>
      </c>
      <c r="H19" s="5">
        <v>0</v>
      </c>
      <c r="I19" s="47">
        <v>0</v>
      </c>
      <c r="J19" s="5">
        <v>1</v>
      </c>
      <c r="K19" s="47">
        <v>0</v>
      </c>
      <c r="L19" s="5">
        <v>0</v>
      </c>
      <c r="M19" s="47">
        <v>0</v>
      </c>
      <c r="N19" s="5">
        <v>0</v>
      </c>
      <c r="O19" s="47">
        <v>0</v>
      </c>
      <c r="AC19" s="11" t="s">
        <v>174</v>
      </c>
      <c r="AD19" s="20">
        <f t="shared" si="12"/>
        <v>0</v>
      </c>
      <c r="AE19" s="20">
        <f t="shared" si="4"/>
        <v>0</v>
      </c>
      <c r="AF19" s="15">
        <v>0</v>
      </c>
      <c r="AG19" s="49">
        <v>0</v>
      </c>
      <c r="AH19" s="15">
        <v>0</v>
      </c>
      <c r="AI19" s="49">
        <v>0</v>
      </c>
      <c r="AJ19" s="15">
        <v>0</v>
      </c>
      <c r="AK19" s="49">
        <v>0</v>
      </c>
      <c r="AL19" s="15">
        <v>0</v>
      </c>
      <c r="AM19" s="49">
        <v>0</v>
      </c>
      <c r="AN19" s="15">
        <v>0</v>
      </c>
      <c r="AO19" s="49">
        <v>0</v>
      </c>
      <c r="AP19" s="15">
        <v>0</v>
      </c>
      <c r="AQ19" s="49">
        <v>0</v>
      </c>
    </row>
    <row r="20" spans="1:43" ht="30.75" customHeight="1" thickBot="1" x14ac:dyDescent="0.3">
      <c r="A20" s="4" t="s">
        <v>142</v>
      </c>
      <c r="B20" s="19">
        <f t="shared" si="10"/>
        <v>5</v>
      </c>
      <c r="C20" s="48">
        <f t="shared" si="10"/>
        <v>0</v>
      </c>
      <c r="D20" s="5">
        <v>5</v>
      </c>
      <c r="E20" s="47">
        <v>0</v>
      </c>
      <c r="F20" s="5">
        <v>0</v>
      </c>
      <c r="G20" s="47">
        <v>0</v>
      </c>
      <c r="H20" s="5">
        <v>0</v>
      </c>
      <c r="I20" s="47">
        <v>0</v>
      </c>
      <c r="J20" s="5">
        <v>0</v>
      </c>
      <c r="K20" s="47">
        <v>0</v>
      </c>
      <c r="L20" s="5">
        <v>0</v>
      </c>
      <c r="M20" s="47">
        <v>0</v>
      </c>
      <c r="N20" s="5">
        <v>0</v>
      </c>
      <c r="O20" s="47">
        <v>0</v>
      </c>
      <c r="AC20" s="11" t="s">
        <v>175</v>
      </c>
      <c r="AD20" s="20">
        <f t="shared" si="12"/>
        <v>2</v>
      </c>
      <c r="AE20" s="20">
        <f t="shared" si="4"/>
        <v>0</v>
      </c>
      <c r="AF20" s="15">
        <v>0</v>
      </c>
      <c r="AG20" s="49">
        <v>0</v>
      </c>
      <c r="AH20" s="15">
        <v>2</v>
      </c>
      <c r="AI20" s="49">
        <v>0</v>
      </c>
      <c r="AJ20" s="15">
        <v>0</v>
      </c>
      <c r="AK20" s="49">
        <v>0</v>
      </c>
      <c r="AL20" s="15">
        <v>0</v>
      </c>
      <c r="AM20" s="49">
        <v>0</v>
      </c>
      <c r="AN20" s="15">
        <v>0</v>
      </c>
      <c r="AO20" s="49">
        <v>0</v>
      </c>
      <c r="AP20" s="15">
        <v>0</v>
      </c>
      <c r="AQ20" s="49">
        <v>0</v>
      </c>
    </row>
    <row r="21" spans="1:43" ht="30.75" customHeight="1" thickBot="1" x14ac:dyDescent="0.3">
      <c r="A21" s="4" t="s">
        <v>137</v>
      </c>
      <c r="B21" s="19">
        <f t="shared" si="10"/>
        <v>55</v>
      </c>
      <c r="C21" s="48">
        <f t="shared" si="10"/>
        <v>0</v>
      </c>
      <c r="D21" s="5">
        <v>16</v>
      </c>
      <c r="E21" s="47">
        <v>0</v>
      </c>
      <c r="F21" s="5">
        <v>35</v>
      </c>
      <c r="G21" s="47">
        <v>0</v>
      </c>
      <c r="H21" s="5">
        <v>0</v>
      </c>
      <c r="I21" s="47">
        <v>0</v>
      </c>
      <c r="J21" s="5">
        <v>4</v>
      </c>
      <c r="K21" s="47">
        <v>0</v>
      </c>
      <c r="L21" s="5">
        <v>0</v>
      </c>
      <c r="M21" s="47">
        <v>0</v>
      </c>
      <c r="N21" s="5">
        <v>0</v>
      </c>
      <c r="O21" s="47">
        <v>0</v>
      </c>
      <c r="AC21" s="11" t="s">
        <v>176</v>
      </c>
      <c r="AD21" s="20">
        <f t="shared" si="12"/>
        <v>3</v>
      </c>
      <c r="AE21" s="20">
        <f t="shared" si="4"/>
        <v>0</v>
      </c>
      <c r="AF21" s="15">
        <v>0</v>
      </c>
      <c r="AG21" s="49">
        <v>0</v>
      </c>
      <c r="AH21" s="15">
        <v>3</v>
      </c>
      <c r="AI21" s="49">
        <v>0</v>
      </c>
      <c r="AJ21" s="15">
        <v>0</v>
      </c>
      <c r="AK21" s="49">
        <v>0</v>
      </c>
      <c r="AL21" s="15">
        <v>0</v>
      </c>
      <c r="AM21" s="49">
        <v>0</v>
      </c>
      <c r="AN21" s="15">
        <v>0</v>
      </c>
      <c r="AO21" s="49">
        <v>0</v>
      </c>
      <c r="AP21" s="15">
        <v>0</v>
      </c>
      <c r="AQ21" s="49">
        <v>0</v>
      </c>
    </row>
    <row r="22" spans="1:43" s="22" customFormat="1" ht="13.5" thickBot="1" x14ac:dyDescent="0.3">
      <c r="A22" s="12" t="s">
        <v>143</v>
      </c>
      <c r="B22" s="14">
        <f t="shared" si="10"/>
        <v>9</v>
      </c>
      <c r="C22" s="14">
        <f t="shared" si="10"/>
        <v>0</v>
      </c>
      <c r="D22" s="14">
        <f>SUM(D23:D25)</f>
        <v>0</v>
      </c>
      <c r="E22" s="14">
        <f t="shared" ref="E22:O22" si="13">SUM(E23:E25)</f>
        <v>0</v>
      </c>
      <c r="F22" s="14">
        <f t="shared" si="13"/>
        <v>7</v>
      </c>
      <c r="G22" s="14">
        <f t="shared" si="13"/>
        <v>0</v>
      </c>
      <c r="H22" s="14">
        <f t="shared" si="13"/>
        <v>1</v>
      </c>
      <c r="I22" s="14">
        <f t="shared" si="13"/>
        <v>0</v>
      </c>
      <c r="J22" s="14">
        <f t="shared" si="13"/>
        <v>1</v>
      </c>
      <c r="K22" s="14">
        <f t="shared" si="13"/>
        <v>0</v>
      </c>
      <c r="L22" s="14">
        <f t="shared" si="13"/>
        <v>0</v>
      </c>
      <c r="M22" s="14">
        <f t="shared" si="13"/>
        <v>0</v>
      </c>
      <c r="N22" s="14">
        <f t="shared" si="13"/>
        <v>0</v>
      </c>
      <c r="O22" s="14">
        <f t="shared" si="13"/>
        <v>0</v>
      </c>
      <c r="AC22" s="11" t="s">
        <v>177</v>
      </c>
      <c r="AD22" s="20">
        <f t="shared" si="12"/>
        <v>0</v>
      </c>
      <c r="AE22" s="20">
        <f t="shared" si="4"/>
        <v>0</v>
      </c>
      <c r="AF22" s="15">
        <v>0</v>
      </c>
      <c r="AG22" s="49">
        <v>0</v>
      </c>
      <c r="AH22" s="15">
        <v>0</v>
      </c>
      <c r="AI22" s="49">
        <v>0</v>
      </c>
      <c r="AJ22" s="15">
        <v>0</v>
      </c>
      <c r="AK22" s="49">
        <v>0</v>
      </c>
      <c r="AL22" s="15">
        <v>0</v>
      </c>
      <c r="AM22" s="49">
        <v>0</v>
      </c>
      <c r="AN22" s="15">
        <v>0</v>
      </c>
      <c r="AO22" s="49">
        <v>0</v>
      </c>
      <c r="AP22" s="15">
        <v>0</v>
      </c>
      <c r="AQ22" s="49">
        <v>0</v>
      </c>
    </row>
    <row r="23" spans="1:43" ht="30" customHeight="1" thickBot="1" x14ac:dyDescent="0.3">
      <c r="A23" s="4" t="s">
        <v>144</v>
      </c>
      <c r="B23" s="19">
        <f t="shared" si="10"/>
        <v>1</v>
      </c>
      <c r="C23" s="48">
        <f t="shared" si="10"/>
        <v>0</v>
      </c>
      <c r="D23" s="5">
        <v>0</v>
      </c>
      <c r="E23" s="47">
        <v>0</v>
      </c>
      <c r="F23" s="5">
        <v>1</v>
      </c>
      <c r="G23" s="47">
        <v>0</v>
      </c>
      <c r="H23" s="5">
        <v>0</v>
      </c>
      <c r="I23" s="47">
        <v>0</v>
      </c>
      <c r="J23" s="5">
        <v>0</v>
      </c>
      <c r="K23" s="47">
        <v>0</v>
      </c>
      <c r="L23" s="5">
        <v>0</v>
      </c>
      <c r="M23" s="47">
        <v>0</v>
      </c>
      <c r="N23" s="5">
        <v>0</v>
      </c>
      <c r="O23" s="47">
        <v>0</v>
      </c>
      <c r="AC23" s="11" t="s">
        <v>178</v>
      </c>
      <c r="AD23" s="20">
        <f t="shared" si="12"/>
        <v>0</v>
      </c>
      <c r="AE23" s="20">
        <f t="shared" si="4"/>
        <v>0</v>
      </c>
      <c r="AF23" s="15">
        <v>0</v>
      </c>
      <c r="AG23" s="49">
        <v>0</v>
      </c>
      <c r="AH23" s="15">
        <v>0</v>
      </c>
      <c r="AI23" s="49">
        <v>0</v>
      </c>
      <c r="AJ23" s="15">
        <v>0</v>
      </c>
      <c r="AK23" s="49">
        <v>0</v>
      </c>
      <c r="AL23" s="15">
        <v>0</v>
      </c>
      <c r="AM23" s="49">
        <v>0</v>
      </c>
      <c r="AN23" s="15">
        <v>0</v>
      </c>
      <c r="AO23" s="49">
        <v>0</v>
      </c>
      <c r="AP23" s="15">
        <v>0</v>
      </c>
      <c r="AQ23" s="49">
        <v>0</v>
      </c>
    </row>
    <row r="24" spans="1:43" ht="30" customHeight="1" thickBot="1" x14ac:dyDescent="0.3">
      <c r="A24" s="4" t="s">
        <v>146</v>
      </c>
      <c r="B24" s="19">
        <f t="shared" si="10"/>
        <v>8</v>
      </c>
      <c r="C24" s="48">
        <f>SUM(E24,G24,I24,K24,M24,O24)</f>
        <v>0</v>
      </c>
      <c r="D24" s="5">
        <v>0</v>
      </c>
      <c r="E24" s="47">
        <v>0</v>
      </c>
      <c r="F24" s="5">
        <v>6</v>
      </c>
      <c r="G24" s="47">
        <v>0</v>
      </c>
      <c r="H24" s="5">
        <v>1</v>
      </c>
      <c r="I24" s="47">
        <v>0</v>
      </c>
      <c r="J24" s="5">
        <v>1</v>
      </c>
      <c r="K24" s="47">
        <v>0</v>
      </c>
      <c r="L24" s="5">
        <v>0</v>
      </c>
      <c r="M24" s="47">
        <v>0</v>
      </c>
      <c r="N24" s="5">
        <v>0</v>
      </c>
      <c r="O24" s="47">
        <v>0</v>
      </c>
      <c r="AC24" s="11" t="s">
        <v>179</v>
      </c>
      <c r="AD24" s="20">
        <f t="shared" si="12"/>
        <v>1</v>
      </c>
      <c r="AE24" s="20">
        <f t="shared" si="4"/>
        <v>0</v>
      </c>
      <c r="AF24" s="15">
        <v>0</v>
      </c>
      <c r="AG24" s="49">
        <v>0</v>
      </c>
      <c r="AH24" s="15">
        <v>1</v>
      </c>
      <c r="AI24" s="49">
        <v>0</v>
      </c>
      <c r="AJ24" s="15">
        <v>0</v>
      </c>
      <c r="AK24" s="49">
        <v>0</v>
      </c>
      <c r="AL24" s="15">
        <v>0</v>
      </c>
      <c r="AM24" s="49">
        <v>0</v>
      </c>
      <c r="AN24" s="15">
        <v>0</v>
      </c>
      <c r="AO24" s="49">
        <v>0</v>
      </c>
      <c r="AP24" s="15">
        <v>0</v>
      </c>
      <c r="AQ24" s="49">
        <v>0</v>
      </c>
    </row>
    <row r="25" spans="1:43" ht="30" customHeight="1" thickBot="1" x14ac:dyDescent="0.3">
      <c r="A25" s="11" t="s">
        <v>145</v>
      </c>
      <c r="B25" s="19">
        <f t="shared" si="10"/>
        <v>0</v>
      </c>
      <c r="C25" s="48">
        <f t="shared" si="10"/>
        <v>0</v>
      </c>
      <c r="D25" s="5">
        <v>0</v>
      </c>
      <c r="E25" s="47">
        <v>0</v>
      </c>
      <c r="F25" s="5">
        <v>0</v>
      </c>
      <c r="G25" s="47">
        <v>0</v>
      </c>
      <c r="H25" s="5">
        <v>0</v>
      </c>
      <c r="I25" s="47">
        <v>0</v>
      </c>
      <c r="J25" s="5">
        <v>0</v>
      </c>
      <c r="K25" s="47">
        <v>0</v>
      </c>
      <c r="L25" s="5">
        <v>0</v>
      </c>
      <c r="M25" s="47">
        <v>0</v>
      </c>
      <c r="N25" s="5">
        <v>0</v>
      </c>
      <c r="O25" s="47">
        <v>0</v>
      </c>
      <c r="AC25" s="11" t="s">
        <v>180</v>
      </c>
      <c r="AD25" s="20">
        <f t="shared" si="12"/>
        <v>0</v>
      </c>
      <c r="AE25" s="20">
        <f t="shared" si="4"/>
        <v>0</v>
      </c>
      <c r="AF25" s="15">
        <v>0</v>
      </c>
      <c r="AG25" s="49">
        <v>0</v>
      </c>
      <c r="AH25" s="15">
        <v>0</v>
      </c>
      <c r="AI25" s="49">
        <v>0</v>
      </c>
      <c r="AJ25" s="15">
        <v>0</v>
      </c>
      <c r="AK25" s="49">
        <v>0</v>
      </c>
      <c r="AL25" s="15">
        <v>0</v>
      </c>
      <c r="AM25" s="49">
        <v>0</v>
      </c>
      <c r="AN25" s="15">
        <v>0</v>
      </c>
      <c r="AO25" s="49">
        <v>0</v>
      </c>
      <c r="AP25" s="15">
        <v>0</v>
      </c>
      <c r="AQ25" s="49">
        <v>0</v>
      </c>
    </row>
    <row r="26" spans="1:43" s="22" customFormat="1" ht="26.25" thickBot="1" x14ac:dyDescent="0.3">
      <c r="A26" s="12" t="s">
        <v>147</v>
      </c>
      <c r="B26" s="14">
        <f t="shared" si="10"/>
        <v>0</v>
      </c>
      <c r="C26" s="14">
        <f t="shared" si="10"/>
        <v>0</v>
      </c>
      <c r="D26" s="14">
        <f>SUM(D27:D29)</f>
        <v>0</v>
      </c>
      <c r="E26" s="14">
        <f t="shared" ref="E26:O26" si="14">SUM(E27:E29)</f>
        <v>0</v>
      </c>
      <c r="F26" s="14">
        <f t="shared" si="14"/>
        <v>0</v>
      </c>
      <c r="G26" s="14">
        <f t="shared" si="14"/>
        <v>0</v>
      </c>
      <c r="H26" s="14">
        <f t="shared" si="14"/>
        <v>0</v>
      </c>
      <c r="I26" s="14">
        <f t="shared" si="14"/>
        <v>0</v>
      </c>
      <c r="J26" s="14">
        <f t="shared" si="14"/>
        <v>0</v>
      </c>
      <c r="K26" s="14">
        <f t="shared" si="14"/>
        <v>0</v>
      </c>
      <c r="L26" s="14">
        <f t="shared" si="14"/>
        <v>0</v>
      </c>
      <c r="M26" s="14">
        <f t="shared" si="14"/>
        <v>0</v>
      </c>
      <c r="N26" s="14">
        <f t="shared" si="14"/>
        <v>0</v>
      </c>
      <c r="O26" s="14">
        <f t="shared" si="14"/>
        <v>0</v>
      </c>
      <c r="AC26" s="11" t="s">
        <v>181</v>
      </c>
      <c r="AD26" s="20">
        <f t="shared" si="12"/>
        <v>0</v>
      </c>
      <c r="AE26" s="20">
        <f t="shared" si="4"/>
        <v>0</v>
      </c>
      <c r="AF26" s="15">
        <v>0</v>
      </c>
      <c r="AG26" s="49">
        <v>0</v>
      </c>
      <c r="AH26" s="15">
        <v>0</v>
      </c>
      <c r="AI26" s="49">
        <v>0</v>
      </c>
      <c r="AJ26" s="15">
        <v>0</v>
      </c>
      <c r="AK26" s="49">
        <v>0</v>
      </c>
      <c r="AL26" s="15">
        <v>0</v>
      </c>
      <c r="AM26" s="49">
        <v>0</v>
      </c>
      <c r="AN26" s="15">
        <v>0</v>
      </c>
      <c r="AO26" s="49">
        <v>0</v>
      </c>
      <c r="AP26" s="15">
        <v>0</v>
      </c>
      <c r="AQ26" s="49">
        <v>0</v>
      </c>
    </row>
    <row r="27" spans="1:43" ht="32.25" customHeight="1" thickBot="1" x14ac:dyDescent="0.3">
      <c r="A27" s="4" t="s">
        <v>149</v>
      </c>
      <c r="B27" s="19">
        <f t="shared" si="10"/>
        <v>0</v>
      </c>
      <c r="C27" s="48">
        <f t="shared" si="10"/>
        <v>0</v>
      </c>
      <c r="D27" s="5">
        <v>0</v>
      </c>
      <c r="E27" s="47">
        <v>0</v>
      </c>
      <c r="F27" s="5">
        <v>0</v>
      </c>
      <c r="G27" s="47">
        <v>0</v>
      </c>
      <c r="H27" s="5">
        <v>0</v>
      </c>
      <c r="I27" s="47">
        <v>0</v>
      </c>
      <c r="J27" s="5">
        <v>0</v>
      </c>
      <c r="K27" s="47">
        <v>0</v>
      </c>
      <c r="L27" s="5">
        <v>0</v>
      </c>
      <c r="M27" s="47">
        <v>0</v>
      </c>
      <c r="N27" s="5">
        <v>0</v>
      </c>
      <c r="O27" s="47">
        <v>0</v>
      </c>
      <c r="AC27" s="11" t="s">
        <v>182</v>
      </c>
      <c r="AD27" s="20">
        <f t="shared" si="12"/>
        <v>1</v>
      </c>
      <c r="AE27" s="20">
        <f t="shared" si="4"/>
        <v>0</v>
      </c>
      <c r="AF27" s="15">
        <v>0</v>
      </c>
      <c r="AG27" s="49">
        <v>0</v>
      </c>
      <c r="AH27" s="15">
        <v>0</v>
      </c>
      <c r="AI27" s="49">
        <v>0</v>
      </c>
      <c r="AJ27" s="15">
        <v>0</v>
      </c>
      <c r="AK27" s="49">
        <v>0</v>
      </c>
      <c r="AL27" s="15">
        <v>1</v>
      </c>
      <c r="AM27" s="49">
        <v>0</v>
      </c>
      <c r="AN27" s="15">
        <v>0</v>
      </c>
      <c r="AO27" s="49">
        <v>0</v>
      </c>
      <c r="AP27" s="15">
        <v>0</v>
      </c>
      <c r="AQ27" s="49">
        <v>0</v>
      </c>
    </row>
    <row r="28" spans="1:43" ht="39" thickBot="1" x14ac:dyDescent="0.3">
      <c r="A28" s="4" t="s">
        <v>150</v>
      </c>
      <c r="B28" s="19">
        <f t="shared" si="10"/>
        <v>0</v>
      </c>
      <c r="C28" s="48">
        <f t="shared" si="10"/>
        <v>0</v>
      </c>
      <c r="D28" s="5">
        <v>0</v>
      </c>
      <c r="E28" s="47">
        <v>0</v>
      </c>
      <c r="F28" s="5">
        <v>0</v>
      </c>
      <c r="G28" s="47">
        <v>0</v>
      </c>
      <c r="H28" s="5">
        <v>0</v>
      </c>
      <c r="I28" s="47">
        <v>0</v>
      </c>
      <c r="J28" s="5">
        <v>0</v>
      </c>
      <c r="K28" s="47">
        <v>0</v>
      </c>
      <c r="L28" s="5">
        <v>0</v>
      </c>
      <c r="M28" s="47">
        <v>0</v>
      </c>
      <c r="N28" s="5">
        <v>0</v>
      </c>
      <c r="O28" s="47">
        <v>0</v>
      </c>
      <c r="AC28" s="11" t="s">
        <v>183</v>
      </c>
      <c r="AD28" s="20">
        <f t="shared" si="12"/>
        <v>2</v>
      </c>
      <c r="AE28" s="20">
        <f t="shared" si="4"/>
        <v>0</v>
      </c>
      <c r="AF28" s="15">
        <v>0</v>
      </c>
      <c r="AG28" s="49">
        <v>0</v>
      </c>
      <c r="AH28" s="15">
        <v>2</v>
      </c>
      <c r="AI28" s="49">
        <v>0</v>
      </c>
      <c r="AJ28" s="15">
        <v>0</v>
      </c>
      <c r="AK28" s="49">
        <v>0</v>
      </c>
      <c r="AL28" s="15">
        <v>0</v>
      </c>
      <c r="AM28" s="49">
        <v>0</v>
      </c>
      <c r="AN28" s="15">
        <v>0</v>
      </c>
      <c r="AO28" s="49">
        <v>0</v>
      </c>
      <c r="AP28" s="15">
        <v>0</v>
      </c>
      <c r="AQ28" s="49">
        <v>0</v>
      </c>
    </row>
    <row r="29" spans="1:43" ht="21.75" customHeight="1" thickBot="1" x14ac:dyDescent="0.3">
      <c r="A29" s="4" t="s">
        <v>148</v>
      </c>
      <c r="B29" s="19">
        <f t="shared" si="10"/>
        <v>0</v>
      </c>
      <c r="C29" s="48">
        <f t="shared" si="10"/>
        <v>0</v>
      </c>
      <c r="D29" s="5">
        <v>0</v>
      </c>
      <c r="E29" s="47">
        <v>0</v>
      </c>
      <c r="F29" s="5">
        <v>0</v>
      </c>
      <c r="G29" s="47">
        <v>0</v>
      </c>
      <c r="H29" s="5">
        <v>0</v>
      </c>
      <c r="I29" s="47">
        <v>0</v>
      </c>
      <c r="J29" s="5">
        <v>0</v>
      </c>
      <c r="K29" s="47">
        <v>0</v>
      </c>
      <c r="L29" s="5">
        <v>0</v>
      </c>
      <c r="M29" s="47">
        <v>0</v>
      </c>
      <c r="N29" s="5">
        <v>0</v>
      </c>
      <c r="O29" s="47">
        <v>0</v>
      </c>
      <c r="AC29" s="11" t="s">
        <v>184</v>
      </c>
      <c r="AD29" s="20">
        <f t="shared" si="12"/>
        <v>2</v>
      </c>
      <c r="AE29" s="20">
        <f t="shared" si="4"/>
        <v>0</v>
      </c>
      <c r="AF29" s="15">
        <v>2</v>
      </c>
      <c r="AG29" s="49">
        <v>0</v>
      </c>
      <c r="AH29" s="15">
        <v>0</v>
      </c>
      <c r="AI29" s="49">
        <v>0</v>
      </c>
      <c r="AJ29" s="15">
        <v>0</v>
      </c>
      <c r="AK29" s="49">
        <v>0</v>
      </c>
      <c r="AL29" s="15">
        <v>0</v>
      </c>
      <c r="AM29" s="49">
        <v>0</v>
      </c>
      <c r="AN29" s="15">
        <v>0</v>
      </c>
      <c r="AO29" s="49">
        <v>0</v>
      </c>
      <c r="AP29" s="15">
        <v>0</v>
      </c>
      <c r="AQ29" s="49">
        <v>0</v>
      </c>
    </row>
    <row r="30" spans="1:43" s="22" customFormat="1" ht="26.25" thickBot="1" x14ac:dyDescent="0.3">
      <c r="A30" s="12" t="s">
        <v>151</v>
      </c>
      <c r="B30" s="14">
        <f t="shared" si="10"/>
        <v>8</v>
      </c>
      <c r="C30" s="14">
        <f t="shared" si="10"/>
        <v>0</v>
      </c>
      <c r="D30" s="14">
        <f>SUM(D31)</f>
        <v>4</v>
      </c>
      <c r="E30" s="14">
        <f t="shared" ref="E30:O30" si="15">SUM(E31)</f>
        <v>0</v>
      </c>
      <c r="F30" s="14">
        <f>SUM(F31)</f>
        <v>4</v>
      </c>
      <c r="G30" s="14">
        <f t="shared" si="15"/>
        <v>0</v>
      </c>
      <c r="H30" s="14">
        <f t="shared" si="15"/>
        <v>0</v>
      </c>
      <c r="I30" s="14">
        <f t="shared" si="15"/>
        <v>0</v>
      </c>
      <c r="J30" s="14">
        <f t="shared" si="15"/>
        <v>0</v>
      </c>
      <c r="K30" s="14">
        <f t="shared" si="15"/>
        <v>0</v>
      </c>
      <c r="L30" s="14">
        <f t="shared" si="15"/>
        <v>0</v>
      </c>
      <c r="M30" s="14">
        <f t="shared" si="15"/>
        <v>0</v>
      </c>
      <c r="N30" s="14">
        <f t="shared" si="15"/>
        <v>0</v>
      </c>
      <c r="O30" s="14">
        <f t="shared" si="15"/>
        <v>0</v>
      </c>
      <c r="AC30" s="11" t="s">
        <v>185</v>
      </c>
      <c r="AD30" s="20">
        <f t="shared" si="12"/>
        <v>9</v>
      </c>
      <c r="AE30" s="20">
        <f t="shared" si="4"/>
        <v>0</v>
      </c>
      <c r="AF30" s="15">
        <v>0</v>
      </c>
      <c r="AG30" s="49">
        <v>0</v>
      </c>
      <c r="AH30" s="15">
        <v>7</v>
      </c>
      <c r="AI30" s="49">
        <v>0</v>
      </c>
      <c r="AJ30" s="15">
        <v>1</v>
      </c>
      <c r="AK30" s="49">
        <v>0</v>
      </c>
      <c r="AL30" s="15">
        <v>1</v>
      </c>
      <c r="AM30" s="49">
        <v>0</v>
      </c>
      <c r="AN30" s="15">
        <v>0</v>
      </c>
      <c r="AO30" s="49">
        <v>0</v>
      </c>
      <c r="AP30" s="15">
        <v>0</v>
      </c>
      <c r="AQ30" s="49">
        <v>0</v>
      </c>
    </row>
    <row r="31" spans="1:43" ht="77.25" thickBot="1" x14ac:dyDescent="0.3">
      <c r="A31" s="4" t="s">
        <v>152</v>
      </c>
      <c r="B31" s="19">
        <f t="shared" si="10"/>
        <v>8</v>
      </c>
      <c r="C31" s="48">
        <f t="shared" si="10"/>
        <v>0</v>
      </c>
      <c r="D31" s="5">
        <v>4</v>
      </c>
      <c r="E31" s="47">
        <v>0</v>
      </c>
      <c r="F31" s="5">
        <v>4</v>
      </c>
      <c r="G31" s="47">
        <v>0</v>
      </c>
      <c r="H31" s="5">
        <v>0</v>
      </c>
      <c r="I31" s="47">
        <v>0</v>
      </c>
      <c r="J31" s="5">
        <v>0</v>
      </c>
      <c r="K31" s="47">
        <v>0</v>
      </c>
      <c r="L31" s="5">
        <v>0</v>
      </c>
      <c r="M31" s="47">
        <v>0</v>
      </c>
      <c r="N31" s="5">
        <v>0</v>
      </c>
      <c r="O31" s="47">
        <v>0</v>
      </c>
      <c r="AC31" s="12" t="s">
        <v>189</v>
      </c>
      <c r="AD31" s="18">
        <f t="shared" si="12"/>
        <v>0</v>
      </c>
      <c r="AE31" s="18">
        <f>SUM(AG31,AI31,AK31,AM31,AO31,AQ31)</f>
        <v>0</v>
      </c>
      <c r="AF31" s="18">
        <f>SUM(AF32:AF35)</f>
        <v>0</v>
      </c>
      <c r="AG31" s="18">
        <f t="shared" ref="AG31:AQ31" si="16">SUM(AG32:AG35)</f>
        <v>0</v>
      </c>
      <c r="AH31" s="18">
        <f t="shared" si="16"/>
        <v>0</v>
      </c>
      <c r="AI31" s="18">
        <f t="shared" si="16"/>
        <v>0</v>
      </c>
      <c r="AJ31" s="18">
        <f t="shared" si="16"/>
        <v>0</v>
      </c>
      <c r="AK31" s="18">
        <f t="shared" si="16"/>
        <v>0</v>
      </c>
      <c r="AL31" s="18">
        <f t="shared" si="16"/>
        <v>0</v>
      </c>
      <c r="AM31" s="18">
        <f t="shared" si="16"/>
        <v>0</v>
      </c>
      <c r="AN31" s="18">
        <f t="shared" si="16"/>
        <v>0</v>
      </c>
      <c r="AO31" s="18">
        <f t="shared" si="16"/>
        <v>0</v>
      </c>
      <c r="AP31" s="18">
        <f t="shared" si="16"/>
        <v>0</v>
      </c>
      <c r="AQ31" s="18">
        <f t="shared" si="16"/>
        <v>0</v>
      </c>
    </row>
    <row r="32" spans="1:43" s="22" customFormat="1" ht="39" thickBot="1" x14ac:dyDescent="0.3">
      <c r="A32" s="12" t="s">
        <v>153</v>
      </c>
      <c r="B32" s="14">
        <f t="shared" si="10"/>
        <v>0</v>
      </c>
      <c r="C32" s="14">
        <f t="shared" si="10"/>
        <v>0</v>
      </c>
      <c r="D32" s="14">
        <f>SUM(D33:D35)</f>
        <v>0</v>
      </c>
      <c r="E32" s="14">
        <f t="shared" ref="E32:O32" si="17">SUM(E33:E35)</f>
        <v>0</v>
      </c>
      <c r="F32" s="14">
        <f t="shared" si="17"/>
        <v>0</v>
      </c>
      <c r="G32" s="14">
        <f t="shared" si="17"/>
        <v>0</v>
      </c>
      <c r="H32" s="14">
        <f t="shared" si="17"/>
        <v>0</v>
      </c>
      <c r="I32" s="14">
        <f t="shared" si="17"/>
        <v>0</v>
      </c>
      <c r="J32" s="14">
        <f t="shared" si="17"/>
        <v>0</v>
      </c>
      <c r="K32" s="14">
        <f t="shared" si="17"/>
        <v>0</v>
      </c>
      <c r="L32" s="14">
        <f t="shared" si="17"/>
        <v>0</v>
      </c>
      <c r="M32" s="14">
        <f t="shared" si="17"/>
        <v>0</v>
      </c>
      <c r="N32" s="14">
        <f t="shared" si="17"/>
        <v>0</v>
      </c>
      <c r="O32" s="14">
        <f t="shared" si="17"/>
        <v>0</v>
      </c>
      <c r="AC32" s="11" t="s">
        <v>190</v>
      </c>
      <c r="AD32" s="20">
        <f t="shared" si="12"/>
        <v>0</v>
      </c>
      <c r="AE32" s="20">
        <f t="shared" ref="AE32:AE50" si="18">SUM(AG32,AI32,AK32,AM32,AO32,AQ32)</f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</row>
    <row r="33" spans="1:43" ht="96" customHeight="1" thickBot="1" x14ac:dyDescent="0.3">
      <c r="A33" s="11" t="s">
        <v>154</v>
      </c>
      <c r="B33" s="19">
        <f t="shared" si="10"/>
        <v>0</v>
      </c>
      <c r="C33" s="48">
        <f t="shared" si="10"/>
        <v>0</v>
      </c>
      <c r="D33" s="5">
        <v>0</v>
      </c>
      <c r="E33" s="47">
        <v>0</v>
      </c>
      <c r="F33" s="5">
        <v>0</v>
      </c>
      <c r="G33" s="47">
        <v>0</v>
      </c>
      <c r="H33" s="5">
        <v>0</v>
      </c>
      <c r="I33" s="47">
        <v>0</v>
      </c>
      <c r="J33" s="5">
        <v>0</v>
      </c>
      <c r="K33" s="47">
        <v>0</v>
      </c>
      <c r="L33" s="5">
        <v>0</v>
      </c>
      <c r="M33" s="47">
        <v>0</v>
      </c>
      <c r="N33" s="5">
        <v>0</v>
      </c>
      <c r="O33" s="47">
        <v>0</v>
      </c>
      <c r="AC33" s="11" t="s">
        <v>191</v>
      </c>
      <c r="AD33" s="20">
        <f t="shared" si="12"/>
        <v>0</v>
      </c>
      <c r="AE33" s="20">
        <f t="shared" si="18"/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</row>
    <row r="34" spans="1:43" ht="95.25" customHeight="1" thickBot="1" x14ac:dyDescent="0.3">
      <c r="A34" s="4" t="s">
        <v>155</v>
      </c>
      <c r="B34" s="19">
        <f t="shared" si="10"/>
        <v>0</v>
      </c>
      <c r="C34" s="48">
        <f t="shared" si="10"/>
        <v>0</v>
      </c>
      <c r="D34" s="5">
        <v>0</v>
      </c>
      <c r="E34" s="47">
        <v>0</v>
      </c>
      <c r="F34" s="5">
        <v>0</v>
      </c>
      <c r="G34" s="47">
        <v>0</v>
      </c>
      <c r="H34" s="5">
        <v>0</v>
      </c>
      <c r="I34" s="47">
        <v>0</v>
      </c>
      <c r="J34" s="5">
        <v>0</v>
      </c>
      <c r="K34" s="47">
        <v>0</v>
      </c>
      <c r="L34" s="5">
        <v>0</v>
      </c>
      <c r="M34" s="47">
        <v>0</v>
      </c>
      <c r="N34" s="5">
        <v>0</v>
      </c>
      <c r="O34" s="47">
        <v>0</v>
      </c>
      <c r="AC34" s="11" t="s">
        <v>192</v>
      </c>
      <c r="AD34" s="20">
        <f t="shared" si="12"/>
        <v>0</v>
      </c>
      <c r="AE34" s="20">
        <f t="shared" si="18"/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</row>
    <row r="35" spans="1:43" ht="45.75" customHeight="1" thickBot="1" x14ac:dyDescent="0.3">
      <c r="A35" s="4" t="s">
        <v>156</v>
      </c>
      <c r="B35" s="19">
        <f t="shared" si="10"/>
        <v>0</v>
      </c>
      <c r="C35" s="48">
        <f t="shared" si="10"/>
        <v>0</v>
      </c>
      <c r="D35" s="5">
        <v>0</v>
      </c>
      <c r="E35" s="47">
        <v>0</v>
      </c>
      <c r="F35" s="5">
        <v>0</v>
      </c>
      <c r="G35" s="47">
        <v>0</v>
      </c>
      <c r="H35" s="5">
        <v>0</v>
      </c>
      <c r="I35" s="47">
        <v>0</v>
      </c>
      <c r="J35" s="5">
        <v>0</v>
      </c>
      <c r="K35" s="47">
        <v>0</v>
      </c>
      <c r="L35" s="5">
        <v>0</v>
      </c>
      <c r="M35" s="47">
        <v>0</v>
      </c>
      <c r="N35" s="5">
        <v>0</v>
      </c>
      <c r="O35" s="47">
        <v>0</v>
      </c>
      <c r="AC35" s="11" t="s">
        <v>193</v>
      </c>
      <c r="AD35" s="20">
        <f t="shared" si="12"/>
        <v>0</v>
      </c>
      <c r="AE35" s="20">
        <f t="shared" si="18"/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</row>
    <row r="36" spans="1:43" s="22" customFormat="1" ht="26.25" thickBot="1" x14ac:dyDescent="0.3">
      <c r="A36" s="12" t="s">
        <v>157</v>
      </c>
      <c r="B36" s="14">
        <f t="shared" si="10"/>
        <v>0</v>
      </c>
      <c r="C36" s="14">
        <f t="shared" si="10"/>
        <v>0</v>
      </c>
      <c r="D36" s="14">
        <f>SUM(D37)</f>
        <v>0</v>
      </c>
      <c r="E36" s="14">
        <f t="shared" ref="E36:O36" si="19">SUM(E37)</f>
        <v>0</v>
      </c>
      <c r="F36" s="14">
        <f t="shared" si="19"/>
        <v>0</v>
      </c>
      <c r="G36" s="14">
        <f t="shared" si="19"/>
        <v>0</v>
      </c>
      <c r="H36" s="14">
        <f t="shared" si="19"/>
        <v>0</v>
      </c>
      <c r="I36" s="14">
        <f t="shared" si="19"/>
        <v>0</v>
      </c>
      <c r="J36" s="14">
        <f t="shared" si="19"/>
        <v>0</v>
      </c>
      <c r="K36" s="14">
        <f t="shared" si="19"/>
        <v>0</v>
      </c>
      <c r="L36" s="14">
        <f t="shared" si="19"/>
        <v>0</v>
      </c>
      <c r="M36" s="14">
        <f t="shared" si="19"/>
        <v>0</v>
      </c>
      <c r="N36" s="14">
        <f t="shared" si="19"/>
        <v>0</v>
      </c>
      <c r="O36" s="14">
        <f t="shared" si="19"/>
        <v>0</v>
      </c>
      <c r="AC36" s="12" t="s">
        <v>194</v>
      </c>
      <c r="AD36" s="18">
        <f>SUM(AF36,AH36,AJ36,AL36,AN36,AP36)</f>
        <v>9</v>
      </c>
      <c r="AE36" s="18">
        <f t="shared" si="18"/>
        <v>0</v>
      </c>
      <c r="AF36" s="18">
        <f>SUM(AF37:AF42)</f>
        <v>0</v>
      </c>
      <c r="AG36" s="18">
        <f t="shared" ref="AG36:AQ36" si="20">SUM(AG37:AG42)</f>
        <v>0</v>
      </c>
      <c r="AH36" s="18">
        <f t="shared" si="20"/>
        <v>4</v>
      </c>
      <c r="AI36" s="18">
        <f t="shared" si="20"/>
        <v>0</v>
      </c>
      <c r="AJ36" s="18">
        <f t="shared" si="20"/>
        <v>1</v>
      </c>
      <c r="AK36" s="18">
        <f t="shared" si="20"/>
        <v>0</v>
      </c>
      <c r="AL36" s="18">
        <f>SUM(AL37:AL42)</f>
        <v>2</v>
      </c>
      <c r="AM36" s="18">
        <f t="shared" si="20"/>
        <v>0</v>
      </c>
      <c r="AN36" s="18">
        <f t="shared" si="20"/>
        <v>1</v>
      </c>
      <c r="AO36" s="18">
        <f t="shared" si="20"/>
        <v>0</v>
      </c>
      <c r="AP36" s="18">
        <f t="shared" si="20"/>
        <v>1</v>
      </c>
      <c r="AQ36" s="18">
        <f t="shared" si="20"/>
        <v>0</v>
      </c>
    </row>
    <row r="37" spans="1:43" ht="65.25" customHeight="1" thickBot="1" x14ac:dyDescent="0.3">
      <c r="A37" s="11" t="s">
        <v>158</v>
      </c>
      <c r="B37" s="19">
        <f t="shared" si="10"/>
        <v>0</v>
      </c>
      <c r="C37" s="19">
        <f t="shared" si="10"/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AC37" s="11" t="s">
        <v>200</v>
      </c>
      <c r="AD37" s="20">
        <f t="shared" ref="AD37:AD50" si="21">SUM(AF37,AH37,AJ37,AL37,AN37,AP37)</f>
        <v>9</v>
      </c>
      <c r="AE37" s="20">
        <f t="shared" si="18"/>
        <v>0</v>
      </c>
      <c r="AF37" s="15">
        <v>0</v>
      </c>
      <c r="AG37" s="49">
        <v>0</v>
      </c>
      <c r="AH37" s="15">
        <v>4</v>
      </c>
      <c r="AI37" s="49">
        <v>0</v>
      </c>
      <c r="AJ37" s="15">
        <v>1</v>
      </c>
      <c r="AK37" s="49">
        <v>0</v>
      </c>
      <c r="AL37" s="15">
        <v>2</v>
      </c>
      <c r="AM37" s="49">
        <v>0</v>
      </c>
      <c r="AN37" s="15">
        <v>1</v>
      </c>
      <c r="AO37" s="49">
        <v>0</v>
      </c>
      <c r="AP37" s="15">
        <v>1</v>
      </c>
      <c r="AQ37" s="49">
        <v>0</v>
      </c>
    </row>
    <row r="38" spans="1:43" s="22" customFormat="1" ht="13.5" thickBot="1" x14ac:dyDescent="0.3">
      <c r="A38" s="12" t="s">
        <v>159</v>
      </c>
      <c r="B38" s="14">
        <f>SUM(D38,F38,H38,J38,L38,N38)</f>
        <v>0</v>
      </c>
      <c r="C38" s="14">
        <f t="shared" si="10"/>
        <v>0</v>
      </c>
      <c r="D38" s="14">
        <f>SUM(D39)</f>
        <v>0</v>
      </c>
      <c r="E38" s="14">
        <f t="shared" ref="E38:O38" si="22">SUM(E39)</f>
        <v>0</v>
      </c>
      <c r="F38" s="14">
        <f t="shared" si="22"/>
        <v>0</v>
      </c>
      <c r="G38" s="14">
        <f t="shared" si="22"/>
        <v>0</v>
      </c>
      <c r="H38" s="14">
        <f t="shared" si="22"/>
        <v>0</v>
      </c>
      <c r="I38" s="14">
        <f t="shared" si="22"/>
        <v>0</v>
      </c>
      <c r="J38" s="14">
        <f t="shared" si="22"/>
        <v>0</v>
      </c>
      <c r="K38" s="14">
        <f t="shared" si="22"/>
        <v>0</v>
      </c>
      <c r="L38" s="14">
        <f t="shared" si="22"/>
        <v>0</v>
      </c>
      <c r="M38" s="14">
        <f t="shared" si="22"/>
        <v>0</v>
      </c>
      <c r="N38" s="14">
        <f t="shared" si="22"/>
        <v>0</v>
      </c>
      <c r="O38" s="14">
        <f t="shared" si="22"/>
        <v>0</v>
      </c>
      <c r="AC38" s="11" t="s">
        <v>195</v>
      </c>
      <c r="AD38" s="20">
        <f t="shared" si="21"/>
        <v>0</v>
      </c>
      <c r="AE38" s="20">
        <f t="shared" si="18"/>
        <v>0</v>
      </c>
      <c r="AF38" s="15">
        <v>0</v>
      </c>
      <c r="AG38" s="49">
        <v>0</v>
      </c>
      <c r="AH38" s="15">
        <v>0</v>
      </c>
      <c r="AI38" s="49">
        <v>0</v>
      </c>
      <c r="AJ38" s="15">
        <v>0</v>
      </c>
      <c r="AK38" s="49">
        <v>0</v>
      </c>
      <c r="AL38" s="15">
        <v>0</v>
      </c>
      <c r="AM38" s="49">
        <v>0</v>
      </c>
      <c r="AN38" s="15">
        <v>0</v>
      </c>
      <c r="AO38" s="49">
        <v>0</v>
      </c>
      <c r="AP38" s="15">
        <v>0</v>
      </c>
      <c r="AQ38" s="49">
        <v>0</v>
      </c>
    </row>
    <row r="39" spans="1:43" ht="21.75" customHeight="1" thickBot="1" x14ac:dyDescent="0.3">
      <c r="A39" s="4" t="s">
        <v>160</v>
      </c>
      <c r="B39" s="19">
        <f t="shared" si="10"/>
        <v>0</v>
      </c>
      <c r="C39" s="17">
        <f t="shared" si="10"/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AC39" s="11" t="s">
        <v>196</v>
      </c>
      <c r="AD39" s="20">
        <f t="shared" si="21"/>
        <v>0</v>
      </c>
      <c r="AE39" s="20">
        <f t="shared" si="18"/>
        <v>0</v>
      </c>
      <c r="AF39" s="15">
        <v>0</v>
      </c>
      <c r="AG39" s="49">
        <v>0</v>
      </c>
      <c r="AH39" s="15">
        <v>0</v>
      </c>
      <c r="AI39" s="49">
        <v>0</v>
      </c>
      <c r="AJ39" s="15">
        <v>0</v>
      </c>
      <c r="AK39" s="49">
        <v>0</v>
      </c>
      <c r="AL39" s="15">
        <v>0</v>
      </c>
      <c r="AM39" s="49">
        <v>0</v>
      </c>
      <c r="AN39" s="15">
        <v>0</v>
      </c>
      <c r="AO39" s="49">
        <v>0</v>
      </c>
      <c r="AP39" s="15">
        <v>0</v>
      </c>
      <c r="AQ39" s="49">
        <v>0</v>
      </c>
    </row>
    <row r="40" spans="1:43" ht="21" customHeight="1" thickBot="1" x14ac:dyDescent="0.3">
      <c r="AC40" s="11" t="s">
        <v>197</v>
      </c>
      <c r="AD40" s="20">
        <f t="shared" si="21"/>
        <v>0</v>
      </c>
      <c r="AE40" s="20">
        <f t="shared" si="18"/>
        <v>0</v>
      </c>
      <c r="AF40" s="15">
        <v>0</v>
      </c>
      <c r="AG40" s="49">
        <v>0</v>
      </c>
      <c r="AH40" s="15">
        <v>0</v>
      </c>
      <c r="AI40" s="49">
        <v>0</v>
      </c>
      <c r="AJ40" s="15">
        <v>0</v>
      </c>
      <c r="AK40" s="49">
        <v>0</v>
      </c>
      <c r="AL40" s="15">
        <v>0</v>
      </c>
      <c r="AM40" s="49">
        <v>0</v>
      </c>
      <c r="AN40" s="15">
        <v>0</v>
      </c>
      <c r="AO40" s="49">
        <v>0</v>
      </c>
      <c r="AP40" s="15">
        <v>0</v>
      </c>
      <c r="AQ40" s="49">
        <v>0</v>
      </c>
    </row>
    <row r="41" spans="1:43" ht="13.5" thickBot="1" x14ac:dyDescent="0.3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AC41" s="11" t="s">
        <v>198</v>
      </c>
      <c r="AD41" s="20">
        <f t="shared" si="21"/>
        <v>0</v>
      </c>
      <c r="AE41" s="20">
        <f t="shared" si="18"/>
        <v>0</v>
      </c>
      <c r="AF41" s="15">
        <v>0</v>
      </c>
      <c r="AG41" s="49">
        <v>0</v>
      </c>
      <c r="AH41" s="15">
        <v>0</v>
      </c>
      <c r="AI41" s="49">
        <v>0</v>
      </c>
      <c r="AJ41" s="15">
        <v>0</v>
      </c>
      <c r="AK41" s="49">
        <v>0</v>
      </c>
      <c r="AL41" s="15">
        <v>0</v>
      </c>
      <c r="AM41" s="49">
        <v>0</v>
      </c>
      <c r="AN41" s="15">
        <v>0</v>
      </c>
      <c r="AO41" s="49">
        <v>0</v>
      </c>
      <c r="AP41" s="15">
        <v>0</v>
      </c>
      <c r="AQ41" s="49">
        <v>0</v>
      </c>
    </row>
    <row r="42" spans="1:43" ht="22.5" customHeight="1" thickBot="1" x14ac:dyDescent="0.3">
      <c r="AC42" s="11" t="s">
        <v>199</v>
      </c>
      <c r="AD42" s="20">
        <f t="shared" si="21"/>
        <v>0</v>
      </c>
      <c r="AE42" s="20">
        <f t="shared" si="18"/>
        <v>0</v>
      </c>
      <c r="AF42" s="15">
        <v>0</v>
      </c>
      <c r="AG42" s="49">
        <v>0</v>
      </c>
      <c r="AH42" s="15">
        <v>0</v>
      </c>
      <c r="AI42" s="49">
        <v>0</v>
      </c>
      <c r="AJ42" s="15">
        <v>0</v>
      </c>
      <c r="AK42" s="49">
        <v>0</v>
      </c>
      <c r="AL42" s="15">
        <v>0</v>
      </c>
      <c r="AM42" s="49">
        <v>0</v>
      </c>
      <c r="AN42" s="15">
        <v>0</v>
      </c>
      <c r="AO42" s="49">
        <v>0</v>
      </c>
      <c r="AP42" s="15">
        <v>0</v>
      </c>
      <c r="AQ42" s="49">
        <v>0</v>
      </c>
    </row>
    <row r="43" spans="1:43" ht="22.5" customHeight="1" thickBot="1" x14ac:dyDescent="0.3">
      <c r="AC43" s="12" t="s">
        <v>201</v>
      </c>
      <c r="AD43" s="18">
        <f t="shared" si="21"/>
        <v>9</v>
      </c>
      <c r="AE43" s="18">
        <f t="shared" si="18"/>
        <v>0</v>
      </c>
      <c r="AF43" s="18">
        <f>SUM(AF44:AF45)</f>
        <v>0</v>
      </c>
      <c r="AG43" s="18">
        <f t="shared" ref="AG43:AQ43" si="23">SUM(AG44:AG45)</f>
        <v>0</v>
      </c>
      <c r="AH43" s="18">
        <f t="shared" si="23"/>
        <v>3</v>
      </c>
      <c r="AI43" s="18">
        <f t="shared" si="23"/>
        <v>0</v>
      </c>
      <c r="AJ43" s="18">
        <f t="shared" si="23"/>
        <v>1</v>
      </c>
      <c r="AK43" s="18">
        <f t="shared" si="23"/>
        <v>0</v>
      </c>
      <c r="AL43" s="18">
        <f t="shared" si="23"/>
        <v>3</v>
      </c>
      <c r="AM43" s="18">
        <f t="shared" si="23"/>
        <v>0</v>
      </c>
      <c r="AN43" s="18">
        <f t="shared" si="23"/>
        <v>1</v>
      </c>
      <c r="AO43" s="18">
        <f t="shared" si="23"/>
        <v>0</v>
      </c>
      <c r="AP43" s="18">
        <f t="shared" si="23"/>
        <v>1</v>
      </c>
      <c r="AQ43" s="18">
        <f t="shared" si="23"/>
        <v>0</v>
      </c>
    </row>
    <row r="44" spans="1:43" ht="26.25" thickBot="1" x14ac:dyDescent="0.3">
      <c r="AC44" s="11" t="s">
        <v>203</v>
      </c>
      <c r="AD44" s="20">
        <f t="shared" si="21"/>
        <v>9</v>
      </c>
      <c r="AE44" s="20">
        <f t="shared" si="18"/>
        <v>0</v>
      </c>
      <c r="AF44" s="15">
        <v>0</v>
      </c>
      <c r="AG44" s="49">
        <v>0</v>
      </c>
      <c r="AH44" s="15">
        <v>3</v>
      </c>
      <c r="AI44" s="49">
        <v>0</v>
      </c>
      <c r="AJ44" s="15">
        <v>1</v>
      </c>
      <c r="AK44" s="49">
        <v>0</v>
      </c>
      <c r="AL44" s="15">
        <v>3</v>
      </c>
      <c r="AM44" s="49">
        <v>0</v>
      </c>
      <c r="AN44" s="15">
        <v>1</v>
      </c>
      <c r="AO44" s="49">
        <v>0</v>
      </c>
      <c r="AP44" s="15">
        <v>1</v>
      </c>
      <c r="AQ44" s="49">
        <v>0</v>
      </c>
    </row>
    <row r="45" spans="1:43" ht="20.25" customHeight="1" thickBot="1" x14ac:dyDescent="0.3">
      <c r="AC45" s="11" t="s">
        <v>202</v>
      </c>
      <c r="AD45" s="20">
        <f t="shared" si="21"/>
        <v>0</v>
      </c>
      <c r="AE45" s="20">
        <f t="shared" si="18"/>
        <v>0</v>
      </c>
      <c r="AF45" s="15">
        <v>0</v>
      </c>
      <c r="AG45" s="49">
        <v>0</v>
      </c>
      <c r="AH45" s="15">
        <v>0</v>
      </c>
      <c r="AI45" s="49">
        <v>0</v>
      </c>
      <c r="AJ45" s="15">
        <v>0</v>
      </c>
      <c r="AK45" s="49">
        <v>0</v>
      </c>
      <c r="AL45" s="15">
        <v>0</v>
      </c>
      <c r="AM45" s="49">
        <v>0</v>
      </c>
      <c r="AN45" s="15">
        <v>0</v>
      </c>
      <c r="AO45" s="49">
        <v>0</v>
      </c>
      <c r="AP45" s="15">
        <v>0</v>
      </c>
      <c r="AQ45" s="49">
        <v>0</v>
      </c>
    </row>
    <row r="46" spans="1:43" ht="20.25" customHeight="1" thickBot="1" x14ac:dyDescent="0.3">
      <c r="AC46" s="12" t="s">
        <v>204</v>
      </c>
      <c r="AD46" s="18">
        <f t="shared" si="21"/>
        <v>0</v>
      </c>
      <c r="AE46" s="18">
        <f t="shared" si="18"/>
        <v>0</v>
      </c>
      <c r="AF46" s="18">
        <f>SUM(AF47:AF50)</f>
        <v>0</v>
      </c>
      <c r="AG46" s="18">
        <f t="shared" ref="AG46:AQ46" si="24">SUM(AG47:AG50)</f>
        <v>0</v>
      </c>
      <c r="AH46" s="18">
        <f t="shared" si="24"/>
        <v>0</v>
      </c>
      <c r="AI46" s="18">
        <f t="shared" si="24"/>
        <v>0</v>
      </c>
      <c r="AJ46" s="18">
        <f t="shared" si="24"/>
        <v>0</v>
      </c>
      <c r="AK46" s="18">
        <f t="shared" si="24"/>
        <v>0</v>
      </c>
      <c r="AL46" s="18">
        <f t="shared" si="24"/>
        <v>0</v>
      </c>
      <c r="AM46" s="18">
        <f t="shared" si="24"/>
        <v>0</v>
      </c>
      <c r="AN46" s="18">
        <f t="shared" si="24"/>
        <v>0</v>
      </c>
      <c r="AO46" s="18">
        <f t="shared" si="24"/>
        <v>0</v>
      </c>
      <c r="AP46" s="18">
        <f t="shared" si="24"/>
        <v>0</v>
      </c>
      <c r="AQ46" s="18">
        <f t="shared" si="24"/>
        <v>0</v>
      </c>
    </row>
    <row r="47" spans="1:43" ht="20.25" customHeight="1" thickBot="1" x14ac:dyDescent="0.3">
      <c r="AC47" s="11" t="s">
        <v>205</v>
      </c>
      <c r="AD47" s="20">
        <f t="shared" si="21"/>
        <v>0</v>
      </c>
      <c r="AE47" s="20">
        <f t="shared" si="18"/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</row>
    <row r="48" spans="1:43" ht="33" customHeight="1" thickBot="1" x14ac:dyDescent="0.3">
      <c r="AC48" s="11" t="s">
        <v>206</v>
      </c>
      <c r="AD48" s="20">
        <f t="shared" si="21"/>
        <v>0</v>
      </c>
      <c r="AE48" s="20">
        <f t="shared" si="18"/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</row>
    <row r="49" spans="29:43" ht="19.5" customHeight="1" thickBot="1" x14ac:dyDescent="0.3">
      <c r="AC49" s="23" t="s">
        <v>207</v>
      </c>
      <c r="AD49" s="20">
        <f t="shared" si="21"/>
        <v>0</v>
      </c>
      <c r="AE49" s="20">
        <f t="shared" si="18"/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</row>
    <row r="50" spans="29:43" ht="33" customHeight="1" thickBot="1" x14ac:dyDescent="0.3">
      <c r="AC50" s="23" t="s">
        <v>208</v>
      </c>
      <c r="AD50" s="20">
        <f t="shared" si="21"/>
        <v>0</v>
      </c>
      <c r="AE50" s="20">
        <f t="shared" si="18"/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</row>
    <row r="51" spans="29:43" ht="33" customHeight="1" x14ac:dyDescent="0.25"/>
    <row r="52" spans="29:43" ht="19.5" customHeight="1" x14ac:dyDescent="0.25"/>
    <row r="53" spans="29:43" ht="19.5" customHeight="1" x14ac:dyDescent="0.25"/>
    <row r="54" spans="29:43" ht="19.5" customHeight="1" x14ac:dyDescent="0.25"/>
    <row r="55" spans="29:43" ht="19.5" customHeight="1" x14ac:dyDescent="0.25"/>
    <row r="56" spans="29:43" ht="19.5" customHeight="1" x14ac:dyDescent="0.25"/>
    <row r="57" spans="29:43" ht="19.5" customHeight="1" x14ac:dyDescent="0.25"/>
    <row r="58" spans="29:43" ht="19.5" customHeight="1" x14ac:dyDescent="0.25"/>
    <row r="59" spans="29:43" ht="19.5" customHeight="1" x14ac:dyDescent="0.25"/>
    <row r="60" spans="29:43" ht="19.5" customHeight="1" x14ac:dyDescent="0.25"/>
    <row r="61" spans="29:43" ht="19.5" customHeight="1" x14ac:dyDescent="0.25"/>
    <row r="62" spans="29:43" ht="19.5" customHeight="1" x14ac:dyDescent="0.25"/>
    <row r="63" spans="29:43" ht="19.5" customHeight="1" x14ac:dyDescent="0.25"/>
    <row r="64" spans="29:43" ht="19.5" customHeight="1" x14ac:dyDescent="0.25"/>
    <row r="65" ht="19.5" customHeight="1" x14ac:dyDescent="0.25"/>
    <row r="66" ht="19.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3" ht="30.75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80" ht="30.75" customHeight="1" x14ac:dyDescent="0.25"/>
    <row r="81" spans="1:15" ht="18.75" customHeight="1" x14ac:dyDescent="0.25"/>
    <row r="83" spans="1:15" ht="31.5" customHeight="1" x14ac:dyDescent="0.25"/>
    <row r="84" spans="1:15" ht="31.5" customHeight="1" x14ac:dyDescent="0.25"/>
    <row r="85" spans="1:15" ht="18" customHeight="1" x14ac:dyDescent="0.25"/>
    <row r="86" spans="1:15" ht="18" customHeight="1" x14ac:dyDescent="0.25"/>
    <row r="87" spans="1:15" ht="21.75" customHeight="1" x14ac:dyDescent="0.25"/>
    <row r="88" spans="1:15" ht="18.75" customHeight="1" x14ac:dyDescent="0.25"/>
    <row r="89" spans="1:15" ht="18.75" customHeight="1" x14ac:dyDescent="0.25"/>
    <row r="90" spans="1:15" ht="18.75" customHeight="1" x14ac:dyDescent="0.25"/>
    <row r="91" spans="1:15" s="16" customFormat="1" ht="27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3" spans="1:15" ht="24.75" customHeight="1" x14ac:dyDescent="0.25"/>
  </sheetData>
  <mergeCells count="13">
    <mergeCell ref="AC1:AC3"/>
    <mergeCell ref="AD1:AQ1"/>
    <mergeCell ref="AD2:AE2"/>
    <mergeCell ref="AC4:AQ4"/>
    <mergeCell ref="AT4:BH4"/>
    <mergeCell ref="AT1:AT3"/>
    <mergeCell ref="AU1:BH1"/>
    <mergeCell ref="AU2:AV2"/>
    <mergeCell ref="A41:O41"/>
    <mergeCell ref="A4:O4"/>
    <mergeCell ref="B1:O1"/>
    <mergeCell ref="B2:C2"/>
    <mergeCell ref="A1:A3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5"/>
  <sheetViews>
    <sheetView topLeftCell="A87" zoomScale="80" zoomScaleNormal="80" workbookViewId="0">
      <selection activeCell="C86" sqref="C86"/>
    </sheetView>
  </sheetViews>
  <sheetFormatPr defaultRowHeight="15" x14ac:dyDescent="0.25"/>
  <cols>
    <col min="1" max="1" width="27.42578125" customWidth="1"/>
    <col min="2" max="3" width="3.85546875" customWidth="1"/>
    <col min="4" max="15" width="4.28515625" customWidth="1"/>
    <col min="16" max="16" width="11.7109375" customWidth="1"/>
    <col min="19" max="19" width="11.7109375" customWidth="1"/>
    <col min="22" max="22" width="11.85546875" customWidth="1"/>
    <col min="25" max="25" width="11.7109375" customWidth="1"/>
    <col min="32" max="32" width="16.140625" customWidth="1"/>
    <col min="33" max="33" width="14.85546875" customWidth="1"/>
    <col min="34" max="34" width="37.5703125" customWidth="1"/>
  </cols>
  <sheetData>
    <row r="1" spans="1:34" x14ac:dyDescent="0.25">
      <c r="A1" s="229" t="s">
        <v>14</v>
      </c>
      <c r="B1" s="229" t="s">
        <v>104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30"/>
      <c r="P1" s="233" t="s">
        <v>105</v>
      </c>
      <c r="Q1" s="229" t="s">
        <v>106</v>
      </c>
      <c r="R1" s="230"/>
      <c r="S1" s="233" t="s">
        <v>105</v>
      </c>
      <c r="T1" s="229" t="s">
        <v>107</v>
      </c>
      <c r="U1" s="230"/>
      <c r="V1" s="233" t="s">
        <v>105</v>
      </c>
      <c r="W1" s="229" t="s">
        <v>108</v>
      </c>
      <c r="X1" s="230"/>
      <c r="Y1" s="233" t="s">
        <v>109</v>
      </c>
      <c r="Z1" s="233" t="s">
        <v>581</v>
      </c>
      <c r="AA1" s="233" t="s">
        <v>573</v>
      </c>
      <c r="AB1" s="233" t="s">
        <v>574</v>
      </c>
    </row>
    <row r="2" spans="1:34" ht="15.75" thickBot="1" x14ac:dyDescent="0.3">
      <c r="A2" s="243"/>
      <c r="B2" s="243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  <c r="P2" s="234"/>
      <c r="Q2" s="231"/>
      <c r="R2" s="232"/>
      <c r="S2" s="234"/>
      <c r="T2" s="231"/>
      <c r="U2" s="232"/>
      <c r="V2" s="234"/>
      <c r="W2" s="231"/>
      <c r="X2" s="232"/>
      <c r="Y2" s="234"/>
      <c r="Z2" s="234"/>
      <c r="AA2" s="234"/>
      <c r="AB2" s="234"/>
    </row>
    <row r="3" spans="1:34" ht="15.75" thickBot="1" x14ac:dyDescent="0.3">
      <c r="A3" s="243"/>
      <c r="B3" s="236" t="s">
        <v>227</v>
      </c>
      <c r="C3" s="237"/>
      <c r="D3" s="237"/>
      <c r="E3" s="237"/>
      <c r="F3" s="237"/>
      <c r="G3" s="237"/>
      <c r="H3" s="238"/>
      <c r="I3" s="236" t="s">
        <v>575</v>
      </c>
      <c r="J3" s="237"/>
      <c r="K3" s="237"/>
      <c r="L3" s="237"/>
      <c r="M3" s="237"/>
      <c r="N3" s="237"/>
      <c r="O3" s="238"/>
      <c r="P3" s="234"/>
      <c r="Q3" s="239" t="s">
        <v>227</v>
      </c>
      <c r="R3" s="239" t="s">
        <v>575</v>
      </c>
      <c r="S3" s="234"/>
      <c r="T3" s="239" t="s">
        <v>227</v>
      </c>
      <c r="U3" s="239" t="s">
        <v>575</v>
      </c>
      <c r="V3" s="234"/>
      <c r="W3" s="239" t="s">
        <v>227</v>
      </c>
      <c r="X3" s="239" t="s">
        <v>575</v>
      </c>
      <c r="Y3" s="234"/>
      <c r="Z3" s="234"/>
      <c r="AA3" s="234"/>
      <c r="AB3" s="234"/>
      <c r="AC3" s="177"/>
    </row>
    <row r="4" spans="1:34" ht="96.75" customHeight="1" thickBot="1" x14ac:dyDescent="0.3">
      <c r="A4" s="231"/>
      <c r="B4" s="164" t="s">
        <v>576</v>
      </c>
      <c r="C4" s="164" t="s">
        <v>123</v>
      </c>
      <c r="D4" s="164" t="s">
        <v>3</v>
      </c>
      <c r="E4" s="164" t="s">
        <v>4</v>
      </c>
      <c r="F4" s="164" t="s">
        <v>5</v>
      </c>
      <c r="G4" s="164" t="s">
        <v>6</v>
      </c>
      <c r="H4" s="164" t="s">
        <v>7</v>
      </c>
      <c r="I4" s="164" t="s">
        <v>576</v>
      </c>
      <c r="J4" s="164" t="s">
        <v>123</v>
      </c>
      <c r="K4" s="164" t="s">
        <v>3</v>
      </c>
      <c r="L4" s="164" t="s">
        <v>4</v>
      </c>
      <c r="M4" s="164" t="s">
        <v>5</v>
      </c>
      <c r="N4" s="164" t="s">
        <v>6</v>
      </c>
      <c r="O4" s="164" t="s">
        <v>7</v>
      </c>
      <c r="P4" s="235"/>
      <c r="Q4" s="240"/>
      <c r="R4" s="240"/>
      <c r="S4" s="235"/>
      <c r="T4" s="240"/>
      <c r="U4" s="240"/>
      <c r="V4" s="235"/>
      <c r="W4" s="240"/>
      <c r="X4" s="240"/>
      <c r="Y4" s="235"/>
      <c r="Z4" s="235"/>
      <c r="AA4" s="235"/>
      <c r="AB4" s="235"/>
      <c r="AC4" s="177"/>
    </row>
    <row r="5" spans="1:34" ht="15.75" thickBot="1" x14ac:dyDescent="0.3">
      <c r="A5" s="241" t="s">
        <v>11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177"/>
    </row>
    <row r="6" spans="1:34" ht="15.75" thickBot="1" x14ac:dyDescent="0.3">
      <c r="A6" s="162" t="s">
        <v>126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3" t="e">
        <f>I6/B6</f>
        <v>#DIV/0!</v>
      </c>
      <c r="Q6" s="163">
        <f>SUM(Q7:Q14)</f>
        <v>0</v>
      </c>
      <c r="R6" s="163">
        <f>SUM(R7:R14)</f>
        <v>0</v>
      </c>
      <c r="S6" s="163" t="e">
        <f t="shared" ref="S6:S41" si="0">R6/Q6</f>
        <v>#DIV/0!</v>
      </c>
      <c r="T6" s="163">
        <f>SUM(T7:T14)</f>
        <v>0</v>
      </c>
      <c r="U6" s="163">
        <f>SUM(U7:U14)</f>
        <v>0</v>
      </c>
      <c r="V6" s="163" t="e">
        <f t="shared" ref="V6:V41" si="1">U6/T6</f>
        <v>#DIV/0!</v>
      </c>
      <c r="W6" s="163">
        <f>SUM(W7:W14)</f>
        <v>0</v>
      </c>
      <c r="X6" s="163">
        <f>SUM(X7:X14)</f>
        <v>0</v>
      </c>
      <c r="Y6" s="163" t="e">
        <f t="shared" ref="Y6:Y41" si="2">X6/W6</f>
        <v>#DIV/0!</v>
      </c>
      <c r="Z6" s="163">
        <v>0</v>
      </c>
      <c r="AA6" s="163">
        <f>R6-Q6</f>
        <v>0</v>
      </c>
      <c r="AB6" s="163">
        <f>X6-W6</f>
        <v>0</v>
      </c>
      <c r="AC6" s="177"/>
      <c r="AD6" s="177"/>
      <c r="AE6" s="177"/>
      <c r="AF6" s="177"/>
      <c r="AG6" s="177"/>
      <c r="AH6" s="177"/>
    </row>
    <row r="7" spans="1:34" ht="15.75" thickBot="1" x14ac:dyDescent="0.3">
      <c r="A7" s="31" t="s">
        <v>127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5" t="e">
        <f t="shared" ref="P7:P40" si="3">I7/B7</f>
        <v>#DIV/0!</v>
      </c>
      <c r="Q7" s="5"/>
      <c r="R7" s="5"/>
      <c r="S7" s="25" t="e">
        <f t="shared" si="0"/>
        <v>#DIV/0!</v>
      </c>
      <c r="T7" s="5"/>
      <c r="U7" s="5"/>
      <c r="V7" s="25" t="e">
        <f t="shared" si="1"/>
        <v>#DIV/0!</v>
      </c>
      <c r="W7" s="5"/>
      <c r="X7" s="5"/>
      <c r="Y7" s="25" t="e">
        <f t="shared" si="2"/>
        <v>#DIV/0!</v>
      </c>
      <c r="Z7" s="15">
        <v>0</v>
      </c>
      <c r="AA7" s="15">
        <f t="shared" ref="AA7:AA71" si="4">R7-Q7</f>
        <v>0</v>
      </c>
      <c r="AB7" s="15">
        <f t="shared" ref="AB7:AB71" si="5">X7-W7</f>
        <v>0</v>
      </c>
      <c r="AC7" s="177"/>
      <c r="AD7" s="177"/>
      <c r="AE7" s="177"/>
      <c r="AF7" s="207"/>
      <c r="AG7" s="209" t="s">
        <v>227</v>
      </c>
      <c r="AH7" s="209" t="s">
        <v>575</v>
      </c>
    </row>
    <row r="8" spans="1:34" ht="30.75" customHeight="1" thickBot="1" x14ac:dyDescent="0.3">
      <c r="A8" s="31" t="s">
        <v>128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5" t="e">
        <f t="shared" si="3"/>
        <v>#DIV/0!</v>
      </c>
      <c r="Q8" s="5"/>
      <c r="R8" s="5"/>
      <c r="S8" s="25" t="e">
        <f t="shared" si="0"/>
        <v>#DIV/0!</v>
      </c>
      <c r="T8" s="5"/>
      <c r="U8" s="5"/>
      <c r="V8" s="25" t="e">
        <f t="shared" si="1"/>
        <v>#DIV/0!</v>
      </c>
      <c r="W8" s="5"/>
      <c r="X8" s="5"/>
      <c r="Y8" s="25" t="e">
        <f t="shared" si="2"/>
        <v>#DIV/0!</v>
      </c>
      <c r="Z8" s="15">
        <v>0</v>
      </c>
      <c r="AA8" s="15">
        <f t="shared" si="4"/>
        <v>0</v>
      </c>
      <c r="AB8" s="15">
        <f t="shared" si="5"/>
        <v>0</v>
      </c>
      <c r="AC8" s="177"/>
      <c r="AD8" s="177"/>
      <c r="AE8" s="177"/>
      <c r="AF8" s="208" t="s">
        <v>11</v>
      </c>
      <c r="AG8" s="207"/>
      <c r="AH8" s="207"/>
    </row>
    <row r="9" spans="1:34" ht="26.25" thickBot="1" x14ac:dyDescent="0.3">
      <c r="A9" s="31" t="s">
        <v>129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5" t="e">
        <f t="shared" si="3"/>
        <v>#DIV/0!</v>
      </c>
      <c r="Q9" s="5"/>
      <c r="R9" s="5"/>
      <c r="S9" s="25" t="e">
        <f t="shared" si="0"/>
        <v>#DIV/0!</v>
      </c>
      <c r="T9" s="5"/>
      <c r="U9" s="5"/>
      <c r="V9" s="25" t="e">
        <f t="shared" si="1"/>
        <v>#DIV/0!</v>
      </c>
      <c r="W9" s="5"/>
      <c r="X9" s="5"/>
      <c r="Y9" s="25" t="e">
        <f t="shared" si="2"/>
        <v>#DIV/0!</v>
      </c>
      <c r="Z9" s="15">
        <v>0</v>
      </c>
      <c r="AA9" s="15">
        <f t="shared" si="4"/>
        <v>0</v>
      </c>
      <c r="AB9" s="15">
        <f t="shared" si="5"/>
        <v>0</v>
      </c>
      <c r="AC9" s="177"/>
      <c r="AD9" s="177"/>
      <c r="AE9" s="177"/>
      <c r="AF9" s="208" t="s">
        <v>12</v>
      </c>
      <c r="AG9" s="207"/>
      <c r="AH9" s="207"/>
    </row>
    <row r="10" spans="1:34" ht="90.75" thickBot="1" x14ac:dyDescent="0.3">
      <c r="A10" s="31" t="s">
        <v>130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5" t="e">
        <f t="shared" si="3"/>
        <v>#DIV/0!</v>
      </c>
      <c r="Q10" s="5"/>
      <c r="R10" s="5"/>
      <c r="S10" s="25" t="e">
        <f t="shared" si="0"/>
        <v>#DIV/0!</v>
      </c>
      <c r="T10" s="5"/>
      <c r="U10" s="5"/>
      <c r="V10" s="25" t="e">
        <f t="shared" si="1"/>
        <v>#DIV/0!</v>
      </c>
      <c r="W10" s="5"/>
      <c r="X10" s="5"/>
      <c r="Y10" s="25" t="e">
        <f t="shared" si="2"/>
        <v>#DIV/0!</v>
      </c>
      <c r="Z10" s="15">
        <v>0</v>
      </c>
      <c r="AA10" s="15">
        <f t="shared" si="4"/>
        <v>0</v>
      </c>
      <c r="AB10" s="15">
        <f t="shared" si="5"/>
        <v>0</v>
      </c>
      <c r="AC10" s="177"/>
      <c r="AD10" s="177"/>
      <c r="AE10" s="177"/>
      <c r="AF10" s="208" t="s">
        <v>212</v>
      </c>
      <c r="AG10" s="207"/>
      <c r="AH10" s="207"/>
    </row>
    <row r="11" spans="1:34" ht="26.25" thickBot="1" x14ac:dyDescent="0.3">
      <c r="A11" s="31" t="s">
        <v>131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25" t="e">
        <f t="shared" si="3"/>
        <v>#DIV/0!</v>
      </c>
      <c r="Q11" s="5"/>
      <c r="R11" s="5"/>
      <c r="S11" s="25" t="e">
        <f t="shared" si="0"/>
        <v>#DIV/0!</v>
      </c>
      <c r="T11" s="5"/>
      <c r="U11" s="5"/>
      <c r="V11" s="25" t="e">
        <f t="shared" si="1"/>
        <v>#DIV/0!</v>
      </c>
      <c r="W11" s="5"/>
      <c r="X11" s="5"/>
      <c r="Y11" s="25" t="e">
        <f t="shared" si="2"/>
        <v>#DIV/0!</v>
      </c>
      <c r="Z11" s="15">
        <v>0</v>
      </c>
      <c r="AA11" s="15">
        <f t="shared" si="4"/>
        <v>0</v>
      </c>
      <c r="AB11" s="15">
        <f t="shared" si="5"/>
        <v>0</v>
      </c>
      <c r="AC11" s="177"/>
      <c r="AD11" s="177"/>
      <c r="AE11" s="177"/>
      <c r="AF11" s="177"/>
      <c r="AG11" s="177"/>
      <c r="AH11" s="177"/>
    </row>
    <row r="12" spans="1:34" ht="26.25" thickBot="1" x14ac:dyDescent="0.3">
      <c r="A12" s="31" t="s">
        <v>132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5" t="e">
        <f t="shared" si="3"/>
        <v>#DIV/0!</v>
      </c>
      <c r="Q12" s="5"/>
      <c r="R12" s="5"/>
      <c r="S12" s="25" t="e">
        <f t="shared" si="0"/>
        <v>#DIV/0!</v>
      </c>
      <c r="T12" s="5"/>
      <c r="U12" s="5"/>
      <c r="V12" s="25" t="e">
        <f t="shared" si="1"/>
        <v>#DIV/0!</v>
      </c>
      <c r="W12" s="5"/>
      <c r="X12" s="5"/>
      <c r="Y12" s="25" t="e">
        <f t="shared" si="2"/>
        <v>#DIV/0!</v>
      </c>
      <c r="Z12" s="15">
        <v>0</v>
      </c>
      <c r="AA12" s="15">
        <f t="shared" si="4"/>
        <v>0</v>
      </c>
      <c r="AB12" s="15">
        <f t="shared" si="5"/>
        <v>0</v>
      </c>
      <c r="AC12" s="177"/>
      <c r="AE12" s="177"/>
      <c r="AF12" s="177"/>
      <c r="AG12" s="177"/>
      <c r="AH12" s="177"/>
    </row>
    <row r="13" spans="1:34" ht="26.25" thickBot="1" x14ac:dyDescent="0.3">
      <c r="A13" s="31" t="s">
        <v>133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25" t="e">
        <f t="shared" si="3"/>
        <v>#DIV/0!</v>
      </c>
      <c r="Q13" s="5"/>
      <c r="R13" s="5"/>
      <c r="S13" s="25" t="e">
        <f t="shared" si="0"/>
        <v>#DIV/0!</v>
      </c>
      <c r="T13" s="5"/>
      <c r="U13" s="5"/>
      <c r="V13" s="25" t="e">
        <f t="shared" si="1"/>
        <v>#DIV/0!</v>
      </c>
      <c r="W13" s="5"/>
      <c r="X13" s="5"/>
      <c r="Y13" s="25" t="e">
        <f t="shared" si="2"/>
        <v>#DIV/0!</v>
      </c>
      <c r="Z13" s="15">
        <v>0</v>
      </c>
      <c r="AA13" s="15">
        <f t="shared" si="4"/>
        <v>0</v>
      </c>
      <c r="AB13" s="15">
        <f t="shared" si="5"/>
        <v>0</v>
      </c>
      <c r="AC13" s="177"/>
      <c r="AE13" s="177"/>
      <c r="AF13" s="177"/>
      <c r="AG13" s="177"/>
      <c r="AH13" s="177"/>
    </row>
    <row r="14" spans="1:34" ht="26.25" thickBot="1" x14ac:dyDescent="0.3">
      <c r="A14" s="31" t="s">
        <v>630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5" t="e">
        <f t="shared" si="3"/>
        <v>#DIV/0!</v>
      </c>
      <c r="Q14" s="5"/>
      <c r="R14" s="5"/>
      <c r="S14" s="25" t="e">
        <f t="shared" si="0"/>
        <v>#DIV/0!</v>
      </c>
      <c r="T14" s="5"/>
      <c r="U14" s="5"/>
      <c r="V14" s="25" t="e">
        <f t="shared" si="1"/>
        <v>#DIV/0!</v>
      </c>
      <c r="W14" s="5"/>
      <c r="X14" s="5"/>
      <c r="Y14" s="25" t="e">
        <f t="shared" si="2"/>
        <v>#DIV/0!</v>
      </c>
      <c r="Z14" s="15">
        <v>0</v>
      </c>
      <c r="AA14" s="15">
        <f t="shared" si="4"/>
        <v>0</v>
      </c>
      <c r="AB14" s="15">
        <f t="shared" si="5"/>
        <v>0</v>
      </c>
      <c r="AC14" s="177"/>
      <c r="AE14" s="177"/>
      <c r="AF14" s="177"/>
      <c r="AG14" s="177"/>
      <c r="AH14" s="177"/>
    </row>
    <row r="15" spans="1:34" ht="70.5" customHeight="1" thickBot="1" x14ac:dyDescent="0.3">
      <c r="A15" s="162" t="s">
        <v>135</v>
      </c>
      <c r="B15" s="162">
        <v>0</v>
      </c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3" t="e">
        <f t="shared" si="3"/>
        <v>#DIV/0!</v>
      </c>
      <c r="Q15" s="163">
        <f>SUM(Q16:Q22)</f>
        <v>0</v>
      </c>
      <c r="R15" s="163">
        <f>SUM(R16:R22)</f>
        <v>0</v>
      </c>
      <c r="S15" s="163" t="e">
        <f t="shared" si="0"/>
        <v>#DIV/0!</v>
      </c>
      <c r="T15" s="163">
        <f>SUM(T16:T22)</f>
        <v>0</v>
      </c>
      <c r="U15" s="163">
        <f>SUM(U16:U22)</f>
        <v>0</v>
      </c>
      <c r="V15" s="163" t="e">
        <f t="shared" si="1"/>
        <v>#DIV/0!</v>
      </c>
      <c r="W15" s="163">
        <f>SUM(W16:W22)</f>
        <v>0</v>
      </c>
      <c r="X15" s="163">
        <f>SUM(X16:X22)</f>
        <v>0</v>
      </c>
      <c r="Y15" s="163" t="e">
        <f t="shared" si="2"/>
        <v>#DIV/0!</v>
      </c>
      <c r="Z15" s="163">
        <v>0</v>
      </c>
      <c r="AA15" s="163">
        <f t="shared" si="4"/>
        <v>0</v>
      </c>
      <c r="AB15" s="163">
        <f t="shared" si="5"/>
        <v>0</v>
      </c>
      <c r="AC15" s="177"/>
      <c r="AE15" s="177"/>
      <c r="AF15" s="177"/>
      <c r="AG15" s="177"/>
      <c r="AH15" s="177"/>
    </row>
    <row r="16" spans="1:34" ht="96.75" customHeight="1" thickBot="1" x14ac:dyDescent="0.3">
      <c r="A16" s="31" t="s">
        <v>136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5" t="e">
        <f t="shared" si="3"/>
        <v>#DIV/0!</v>
      </c>
      <c r="Q16" s="5"/>
      <c r="R16" s="5"/>
      <c r="S16" s="25" t="e">
        <f t="shared" si="0"/>
        <v>#DIV/0!</v>
      </c>
      <c r="T16" s="5"/>
      <c r="U16" s="5"/>
      <c r="V16" s="25" t="e">
        <f t="shared" si="1"/>
        <v>#DIV/0!</v>
      </c>
      <c r="W16" s="5"/>
      <c r="X16" s="5"/>
      <c r="Y16" s="25" t="e">
        <f t="shared" si="2"/>
        <v>#DIV/0!</v>
      </c>
      <c r="Z16" s="15">
        <v>0</v>
      </c>
      <c r="AA16" s="15">
        <f t="shared" si="4"/>
        <v>0</v>
      </c>
      <c r="AB16" s="15">
        <f t="shared" si="5"/>
        <v>0</v>
      </c>
      <c r="AC16" s="177"/>
      <c r="AE16" s="177"/>
      <c r="AF16" s="177"/>
      <c r="AG16" s="177"/>
      <c r="AH16" s="177"/>
    </row>
    <row r="17" spans="1:29" ht="120" customHeight="1" thickBot="1" x14ac:dyDescent="0.3">
      <c r="A17" s="31" t="s">
        <v>138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5" t="e">
        <f t="shared" si="3"/>
        <v>#DIV/0!</v>
      </c>
      <c r="Q17" s="5"/>
      <c r="R17" s="5"/>
      <c r="S17" s="25" t="e">
        <f t="shared" si="0"/>
        <v>#DIV/0!</v>
      </c>
      <c r="T17" s="5"/>
      <c r="U17" s="5"/>
      <c r="V17" s="25" t="e">
        <f t="shared" si="1"/>
        <v>#DIV/0!</v>
      </c>
      <c r="W17" s="5"/>
      <c r="X17" s="5"/>
      <c r="Y17" s="25" t="e">
        <f t="shared" si="2"/>
        <v>#DIV/0!</v>
      </c>
      <c r="Z17" s="15">
        <v>0</v>
      </c>
      <c r="AA17" s="15">
        <f t="shared" si="4"/>
        <v>0</v>
      </c>
      <c r="AB17" s="15">
        <f t="shared" si="5"/>
        <v>0</v>
      </c>
      <c r="AC17" s="177"/>
    </row>
    <row r="18" spans="1:29" ht="81.75" customHeight="1" thickBot="1" x14ac:dyDescent="0.3">
      <c r="A18" s="31" t="s">
        <v>139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5" t="e">
        <f t="shared" si="3"/>
        <v>#DIV/0!</v>
      </c>
      <c r="Q18" s="5"/>
      <c r="R18" s="5"/>
      <c r="S18" s="25" t="e">
        <f t="shared" si="0"/>
        <v>#DIV/0!</v>
      </c>
      <c r="T18" s="5"/>
      <c r="U18" s="5"/>
      <c r="V18" s="25" t="e">
        <f t="shared" si="1"/>
        <v>#DIV/0!</v>
      </c>
      <c r="W18" s="5"/>
      <c r="X18" s="5"/>
      <c r="Y18" s="25" t="e">
        <f t="shared" si="2"/>
        <v>#DIV/0!</v>
      </c>
      <c r="Z18" s="15">
        <v>0</v>
      </c>
      <c r="AA18" s="15">
        <f t="shared" si="4"/>
        <v>0</v>
      </c>
      <c r="AB18" s="15">
        <f t="shared" si="5"/>
        <v>0</v>
      </c>
      <c r="AC18" s="177"/>
    </row>
    <row r="19" spans="1:29" ht="105" customHeight="1" thickBot="1" x14ac:dyDescent="0.3">
      <c r="A19" s="31" t="s">
        <v>140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5" t="e">
        <f t="shared" si="3"/>
        <v>#DIV/0!</v>
      </c>
      <c r="Q19" s="5"/>
      <c r="R19" s="5"/>
      <c r="S19" s="25" t="e">
        <f t="shared" si="0"/>
        <v>#DIV/0!</v>
      </c>
      <c r="T19" s="5"/>
      <c r="U19" s="5"/>
      <c r="V19" s="25" t="e">
        <f t="shared" si="1"/>
        <v>#DIV/0!</v>
      </c>
      <c r="W19" s="5"/>
      <c r="X19" s="5"/>
      <c r="Y19" s="25" t="e">
        <f t="shared" si="2"/>
        <v>#DIV/0!</v>
      </c>
      <c r="Z19" s="15">
        <v>0</v>
      </c>
      <c r="AA19" s="15">
        <f t="shared" si="4"/>
        <v>0</v>
      </c>
      <c r="AB19" s="15">
        <f t="shared" si="5"/>
        <v>0</v>
      </c>
      <c r="AC19" s="177"/>
    </row>
    <row r="20" spans="1:29" ht="68.25" customHeight="1" thickBot="1" x14ac:dyDescent="0.3">
      <c r="A20" s="31" t="s">
        <v>141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25" t="e">
        <f t="shared" si="3"/>
        <v>#DIV/0!</v>
      </c>
      <c r="Q20" s="5"/>
      <c r="R20" s="5"/>
      <c r="S20" s="25" t="e">
        <f t="shared" si="0"/>
        <v>#DIV/0!</v>
      </c>
      <c r="T20" s="5"/>
      <c r="U20" s="5"/>
      <c r="V20" s="25" t="e">
        <f t="shared" si="1"/>
        <v>#DIV/0!</v>
      </c>
      <c r="W20" s="5"/>
      <c r="X20" s="5"/>
      <c r="Y20" s="25" t="e">
        <f t="shared" si="2"/>
        <v>#DIV/0!</v>
      </c>
      <c r="Z20" s="15">
        <v>0</v>
      </c>
      <c r="AA20" s="15">
        <f t="shared" si="4"/>
        <v>0</v>
      </c>
      <c r="AB20" s="15">
        <f t="shared" si="5"/>
        <v>0</v>
      </c>
      <c r="AC20" s="177"/>
    </row>
    <row r="21" spans="1:29" ht="57.75" customHeight="1" thickBot="1" x14ac:dyDescent="0.3">
      <c r="A21" s="31" t="s">
        <v>142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5" t="e">
        <f t="shared" si="3"/>
        <v>#DIV/0!</v>
      </c>
      <c r="Q21" s="5"/>
      <c r="R21" s="5"/>
      <c r="S21" s="25" t="e">
        <f t="shared" si="0"/>
        <v>#DIV/0!</v>
      </c>
      <c r="T21" s="5"/>
      <c r="U21" s="5"/>
      <c r="V21" s="25" t="e">
        <f t="shared" si="1"/>
        <v>#DIV/0!</v>
      </c>
      <c r="W21" s="5"/>
      <c r="X21" s="5"/>
      <c r="Y21" s="25" t="e">
        <f t="shared" si="2"/>
        <v>#DIV/0!</v>
      </c>
      <c r="Z21" s="15">
        <v>0</v>
      </c>
      <c r="AA21" s="15">
        <f t="shared" si="4"/>
        <v>0</v>
      </c>
      <c r="AB21" s="15">
        <f t="shared" si="5"/>
        <v>0</v>
      </c>
      <c r="AC21" s="177"/>
    </row>
    <row r="22" spans="1:29" ht="27" customHeight="1" thickBot="1" x14ac:dyDescent="0.3">
      <c r="A22" s="31" t="s">
        <v>632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5" t="e">
        <f t="shared" si="3"/>
        <v>#DIV/0!</v>
      </c>
      <c r="Q22" s="5"/>
      <c r="R22" s="5"/>
      <c r="S22" s="25" t="e">
        <f t="shared" si="0"/>
        <v>#DIV/0!</v>
      </c>
      <c r="T22" s="5"/>
      <c r="U22" s="5"/>
      <c r="V22" s="25" t="e">
        <f t="shared" si="1"/>
        <v>#DIV/0!</v>
      </c>
      <c r="W22" s="5"/>
      <c r="X22" s="5"/>
      <c r="Y22" s="25" t="e">
        <f t="shared" si="2"/>
        <v>#DIV/0!</v>
      </c>
      <c r="Z22" s="15">
        <v>0</v>
      </c>
      <c r="AA22" s="15">
        <f t="shared" si="4"/>
        <v>0</v>
      </c>
      <c r="AB22" s="15">
        <f t="shared" si="5"/>
        <v>0</v>
      </c>
      <c r="AC22" s="177"/>
    </row>
    <row r="23" spans="1:29" ht="26.25" thickBot="1" x14ac:dyDescent="0.3">
      <c r="A23" s="162" t="s">
        <v>143</v>
      </c>
      <c r="B23" s="162">
        <v>0</v>
      </c>
      <c r="C23" s="162">
        <v>0</v>
      </c>
      <c r="D23" s="162">
        <v>0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3" t="e">
        <f t="shared" si="3"/>
        <v>#DIV/0!</v>
      </c>
      <c r="Q23" s="163">
        <f>SUM(Q24:Q26)</f>
        <v>0</v>
      </c>
      <c r="R23" s="163">
        <f>SUM(R24:R26)</f>
        <v>0</v>
      </c>
      <c r="S23" s="163" t="e">
        <f t="shared" si="0"/>
        <v>#DIV/0!</v>
      </c>
      <c r="T23" s="163">
        <f>SUM(T24:T26)</f>
        <v>0</v>
      </c>
      <c r="U23" s="163">
        <f>SUM(U24:U26)</f>
        <v>0</v>
      </c>
      <c r="V23" s="163" t="e">
        <f t="shared" si="1"/>
        <v>#DIV/0!</v>
      </c>
      <c r="W23" s="163">
        <f>SUM(W24:W26)</f>
        <v>0</v>
      </c>
      <c r="X23" s="163">
        <f>SUM(X24:X26)</f>
        <v>0</v>
      </c>
      <c r="Y23" s="163" t="e">
        <f t="shared" si="2"/>
        <v>#DIV/0!</v>
      </c>
      <c r="Z23" s="163">
        <v>0</v>
      </c>
      <c r="AA23" s="163">
        <f t="shared" si="4"/>
        <v>0</v>
      </c>
      <c r="AB23" s="163">
        <f t="shared" si="5"/>
        <v>0</v>
      </c>
      <c r="AC23" s="177"/>
    </row>
    <row r="24" spans="1:29" ht="26.25" thickBot="1" x14ac:dyDescent="0.3">
      <c r="A24" s="31" t="s">
        <v>144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5" t="e">
        <f t="shared" si="3"/>
        <v>#DIV/0!</v>
      </c>
      <c r="Q24" s="5"/>
      <c r="R24" s="5"/>
      <c r="S24" s="25" t="e">
        <f t="shared" si="0"/>
        <v>#DIV/0!</v>
      </c>
      <c r="T24" s="5"/>
      <c r="U24" s="5"/>
      <c r="V24" s="25" t="e">
        <f t="shared" si="1"/>
        <v>#DIV/0!</v>
      </c>
      <c r="W24" s="5"/>
      <c r="X24" s="5"/>
      <c r="Y24" s="25" t="e">
        <f t="shared" si="2"/>
        <v>#DIV/0!</v>
      </c>
      <c r="Z24" s="15">
        <v>0</v>
      </c>
      <c r="AA24" s="15">
        <f t="shared" si="4"/>
        <v>0</v>
      </c>
      <c r="AB24" s="15">
        <f t="shared" si="5"/>
        <v>0</v>
      </c>
      <c r="AC24" s="177"/>
    </row>
    <row r="25" spans="1:29" ht="57.75" customHeight="1" thickBot="1" x14ac:dyDescent="0.3">
      <c r="A25" s="31" t="s">
        <v>146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5" t="e">
        <f t="shared" si="3"/>
        <v>#DIV/0!</v>
      </c>
      <c r="Q25" s="5"/>
      <c r="R25" s="5"/>
      <c r="S25" s="25" t="e">
        <f t="shared" si="0"/>
        <v>#DIV/0!</v>
      </c>
      <c r="T25" s="5"/>
      <c r="U25" s="5"/>
      <c r="V25" s="25" t="e">
        <f t="shared" si="1"/>
        <v>#DIV/0!</v>
      </c>
      <c r="W25" s="5"/>
      <c r="X25" s="5"/>
      <c r="Y25" s="25" t="e">
        <f t="shared" si="2"/>
        <v>#DIV/0!</v>
      </c>
      <c r="Z25" s="15">
        <v>0</v>
      </c>
      <c r="AA25" s="15">
        <f t="shared" si="4"/>
        <v>0</v>
      </c>
      <c r="AB25" s="15">
        <f t="shared" si="5"/>
        <v>0</v>
      </c>
      <c r="AC25" s="177"/>
    </row>
    <row r="26" spans="1:29" ht="26.25" thickBot="1" x14ac:dyDescent="0.3">
      <c r="A26" s="31" t="s">
        <v>145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5" t="e">
        <f t="shared" si="3"/>
        <v>#DIV/0!</v>
      </c>
      <c r="Q26" s="5"/>
      <c r="R26" s="5"/>
      <c r="S26" s="25" t="e">
        <f t="shared" si="0"/>
        <v>#DIV/0!</v>
      </c>
      <c r="T26" s="5"/>
      <c r="U26" s="5"/>
      <c r="V26" s="25" t="e">
        <f t="shared" si="1"/>
        <v>#DIV/0!</v>
      </c>
      <c r="W26" s="5"/>
      <c r="X26" s="5"/>
      <c r="Y26" s="25" t="e">
        <f t="shared" si="2"/>
        <v>#DIV/0!</v>
      </c>
      <c r="Z26" s="15">
        <v>0</v>
      </c>
      <c r="AA26" s="15">
        <f t="shared" si="4"/>
        <v>0</v>
      </c>
      <c r="AB26" s="15">
        <f t="shared" si="5"/>
        <v>0</v>
      </c>
      <c r="AC26" s="177"/>
    </row>
    <row r="27" spans="1:29" ht="48" customHeight="1" thickBot="1" x14ac:dyDescent="0.3">
      <c r="A27" s="162" t="s">
        <v>631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3" t="e">
        <f t="shared" si="3"/>
        <v>#DIV/0!</v>
      </c>
      <c r="Q27" s="163">
        <f>SUM(Q28:Q30)</f>
        <v>0</v>
      </c>
      <c r="R27" s="163">
        <f>SUM(R28:R30)</f>
        <v>0</v>
      </c>
      <c r="S27" s="163" t="e">
        <f t="shared" si="0"/>
        <v>#DIV/0!</v>
      </c>
      <c r="T27" s="163">
        <f>SUM(T28:T30)</f>
        <v>0</v>
      </c>
      <c r="U27" s="163">
        <f>SUM(U28:U30)</f>
        <v>0</v>
      </c>
      <c r="V27" s="163" t="e">
        <f t="shared" si="1"/>
        <v>#DIV/0!</v>
      </c>
      <c r="W27" s="163">
        <f>SUM(W28:W30)</f>
        <v>0</v>
      </c>
      <c r="X27" s="163">
        <f>SUM(X28:X30)</f>
        <v>0</v>
      </c>
      <c r="Y27" s="163" t="e">
        <f t="shared" si="2"/>
        <v>#DIV/0!</v>
      </c>
      <c r="Z27" s="163">
        <v>0</v>
      </c>
      <c r="AA27" s="163">
        <f t="shared" si="4"/>
        <v>0</v>
      </c>
      <c r="AB27" s="163">
        <f t="shared" si="5"/>
        <v>0</v>
      </c>
      <c r="AC27" s="177"/>
    </row>
    <row r="28" spans="1:29" ht="63.75" customHeight="1" thickBot="1" x14ac:dyDescent="0.3">
      <c r="A28" s="31" t="s">
        <v>149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5" t="e">
        <f t="shared" si="3"/>
        <v>#DIV/0!</v>
      </c>
      <c r="Q28" s="5"/>
      <c r="R28" s="5"/>
      <c r="S28" s="25" t="e">
        <f t="shared" si="0"/>
        <v>#DIV/0!</v>
      </c>
      <c r="T28" s="5"/>
      <c r="U28" s="5"/>
      <c r="V28" s="25" t="e">
        <f t="shared" si="1"/>
        <v>#DIV/0!</v>
      </c>
      <c r="W28" s="5"/>
      <c r="X28" s="5"/>
      <c r="Y28" s="25" t="e">
        <f t="shared" si="2"/>
        <v>#DIV/0!</v>
      </c>
      <c r="Z28" s="15">
        <v>0</v>
      </c>
      <c r="AA28" s="15">
        <f t="shared" si="4"/>
        <v>0</v>
      </c>
      <c r="AB28" s="15">
        <f t="shared" si="5"/>
        <v>0</v>
      </c>
      <c r="AC28" s="177"/>
    </row>
    <row r="29" spans="1:29" ht="83.25" customHeight="1" thickBot="1" x14ac:dyDescent="0.3">
      <c r="A29" s="31" t="s">
        <v>150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5" t="e">
        <f t="shared" si="3"/>
        <v>#DIV/0!</v>
      </c>
      <c r="Q29" s="5"/>
      <c r="R29" s="5"/>
      <c r="S29" s="25" t="e">
        <f t="shared" si="0"/>
        <v>#DIV/0!</v>
      </c>
      <c r="T29" s="5"/>
      <c r="U29" s="5"/>
      <c r="V29" s="25" t="e">
        <f t="shared" si="1"/>
        <v>#DIV/0!</v>
      </c>
      <c r="W29" s="5"/>
      <c r="X29" s="5"/>
      <c r="Y29" s="25" t="e">
        <f t="shared" si="2"/>
        <v>#DIV/0!</v>
      </c>
      <c r="Z29" s="15">
        <v>0</v>
      </c>
      <c r="AA29" s="15">
        <f t="shared" si="4"/>
        <v>0</v>
      </c>
      <c r="AB29" s="15">
        <f t="shared" si="5"/>
        <v>0</v>
      </c>
      <c r="AC29" s="177"/>
    </row>
    <row r="30" spans="1:29" ht="26.25" thickBot="1" x14ac:dyDescent="0.3">
      <c r="A30" s="31" t="s">
        <v>148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5" t="e">
        <f t="shared" si="3"/>
        <v>#DIV/0!</v>
      </c>
      <c r="Q30" s="5"/>
      <c r="R30" s="5"/>
      <c r="S30" s="25" t="e">
        <f t="shared" si="0"/>
        <v>#DIV/0!</v>
      </c>
      <c r="T30" s="5"/>
      <c r="U30" s="5"/>
      <c r="V30" s="25" t="e">
        <f t="shared" si="1"/>
        <v>#DIV/0!</v>
      </c>
      <c r="W30" s="5"/>
      <c r="X30" s="5"/>
      <c r="Y30" s="25" t="e">
        <f t="shared" si="2"/>
        <v>#DIV/0!</v>
      </c>
      <c r="Z30" s="15">
        <v>0</v>
      </c>
      <c r="AA30" s="15">
        <f t="shared" si="4"/>
        <v>0</v>
      </c>
      <c r="AB30" s="15">
        <f t="shared" si="5"/>
        <v>0</v>
      </c>
      <c r="AC30" s="177"/>
    </row>
    <row r="31" spans="1:29" ht="51.75" thickBot="1" x14ac:dyDescent="0.3">
      <c r="A31" s="162" t="s">
        <v>667</v>
      </c>
      <c r="B31" s="162">
        <v>0</v>
      </c>
      <c r="C31" s="162">
        <v>0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3" t="e">
        <f t="shared" si="3"/>
        <v>#DIV/0!</v>
      </c>
      <c r="Q31" s="163">
        <f>SUM(Q32)</f>
        <v>0</v>
      </c>
      <c r="R31" s="163">
        <f>SUM(R32)</f>
        <v>0</v>
      </c>
      <c r="S31" s="163" t="e">
        <f t="shared" si="0"/>
        <v>#DIV/0!</v>
      </c>
      <c r="T31" s="163">
        <f>SUM(T32)</f>
        <v>0</v>
      </c>
      <c r="U31" s="163">
        <f>SUM(U32)</f>
        <v>0</v>
      </c>
      <c r="V31" s="163" t="e">
        <f t="shared" si="1"/>
        <v>#DIV/0!</v>
      </c>
      <c r="W31" s="163">
        <f>SUM(W32)</f>
        <v>0</v>
      </c>
      <c r="X31" s="163">
        <f>SUM(X32)</f>
        <v>0</v>
      </c>
      <c r="Y31" s="163" t="e">
        <f t="shared" si="2"/>
        <v>#DIV/0!</v>
      </c>
      <c r="Z31" s="163">
        <v>0</v>
      </c>
      <c r="AA31" s="163">
        <f t="shared" si="4"/>
        <v>0</v>
      </c>
      <c r="AB31" s="163">
        <f t="shared" si="5"/>
        <v>0</v>
      </c>
      <c r="AC31" s="177"/>
    </row>
    <row r="32" spans="1:29" ht="174" customHeight="1" thickBot="1" x14ac:dyDescent="0.3">
      <c r="A32" s="31" t="s">
        <v>629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25" t="e">
        <f t="shared" si="3"/>
        <v>#DIV/0!</v>
      </c>
      <c r="Q32" s="5"/>
      <c r="R32" s="5"/>
      <c r="S32" s="25" t="e">
        <f t="shared" si="0"/>
        <v>#DIV/0!</v>
      </c>
      <c r="T32" s="5"/>
      <c r="U32" s="5"/>
      <c r="V32" s="25" t="e">
        <f t="shared" si="1"/>
        <v>#DIV/0!</v>
      </c>
      <c r="W32" s="5"/>
      <c r="X32" s="5"/>
      <c r="Y32" s="25" t="e">
        <f t="shared" si="2"/>
        <v>#DIV/0!</v>
      </c>
      <c r="Z32" s="15">
        <v>0</v>
      </c>
      <c r="AA32" s="15">
        <f t="shared" si="4"/>
        <v>0</v>
      </c>
      <c r="AB32" s="15">
        <f t="shared" si="5"/>
        <v>0</v>
      </c>
      <c r="AC32" s="177"/>
    </row>
    <row r="33" spans="1:29" ht="85.5" customHeight="1" thickBot="1" x14ac:dyDescent="0.3">
      <c r="A33" s="162" t="s">
        <v>153</v>
      </c>
      <c r="B33" s="162">
        <v>0</v>
      </c>
      <c r="C33" s="162">
        <v>0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3" t="e">
        <f t="shared" si="3"/>
        <v>#DIV/0!</v>
      </c>
      <c r="Q33" s="163">
        <f>SUM(Q34:Q36)</f>
        <v>0</v>
      </c>
      <c r="R33" s="163">
        <f>SUM(R34:R36)</f>
        <v>0</v>
      </c>
      <c r="S33" s="163" t="e">
        <f t="shared" si="0"/>
        <v>#DIV/0!</v>
      </c>
      <c r="T33" s="163">
        <f>SUM(T34:T36)</f>
        <v>0</v>
      </c>
      <c r="U33" s="163">
        <f>SUM(U34:U36)</f>
        <v>0</v>
      </c>
      <c r="V33" s="163" t="e">
        <f t="shared" si="1"/>
        <v>#DIV/0!</v>
      </c>
      <c r="W33" s="163">
        <f>SUM(W34:W36)</f>
        <v>0</v>
      </c>
      <c r="X33" s="163">
        <f>SUM(X34:X36)</f>
        <v>0</v>
      </c>
      <c r="Y33" s="163" t="e">
        <f t="shared" si="2"/>
        <v>#DIV/0!</v>
      </c>
      <c r="Z33" s="163">
        <v>0</v>
      </c>
      <c r="AA33" s="163">
        <f t="shared" si="4"/>
        <v>0</v>
      </c>
      <c r="AB33" s="163">
        <f t="shared" si="5"/>
        <v>0</v>
      </c>
      <c r="AC33" s="177"/>
    </row>
    <row r="34" spans="1:29" ht="162" customHeight="1" thickBot="1" x14ac:dyDescent="0.3">
      <c r="A34" s="31" t="s">
        <v>154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25" t="e">
        <f t="shared" si="3"/>
        <v>#DIV/0!</v>
      </c>
      <c r="Q34" s="5"/>
      <c r="R34" s="5"/>
      <c r="S34" s="25" t="e">
        <f t="shared" si="0"/>
        <v>#DIV/0!</v>
      </c>
      <c r="T34" s="5"/>
      <c r="U34" s="5"/>
      <c r="V34" s="25" t="e">
        <f t="shared" si="1"/>
        <v>#DIV/0!</v>
      </c>
      <c r="W34" s="5"/>
      <c r="X34" s="5"/>
      <c r="Y34" s="25" t="e">
        <f t="shared" si="2"/>
        <v>#DIV/0!</v>
      </c>
      <c r="Z34" s="15">
        <v>0</v>
      </c>
      <c r="AA34" s="15">
        <f t="shared" si="4"/>
        <v>0</v>
      </c>
      <c r="AB34" s="15">
        <f t="shared" si="5"/>
        <v>0</v>
      </c>
      <c r="AC34" s="177"/>
    </row>
    <row r="35" spans="1:29" ht="174" customHeight="1" thickBot="1" x14ac:dyDescent="0.3">
      <c r="A35" s="31" t="s">
        <v>155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25" t="e">
        <f t="shared" si="3"/>
        <v>#DIV/0!</v>
      </c>
      <c r="Q35" s="5"/>
      <c r="R35" s="5"/>
      <c r="S35" s="25" t="e">
        <f t="shared" si="0"/>
        <v>#DIV/0!</v>
      </c>
      <c r="T35" s="5"/>
      <c r="U35" s="5"/>
      <c r="V35" s="25" t="e">
        <f t="shared" si="1"/>
        <v>#DIV/0!</v>
      </c>
      <c r="W35" s="5"/>
      <c r="X35" s="5"/>
      <c r="Y35" s="25" t="e">
        <f t="shared" si="2"/>
        <v>#DIV/0!</v>
      </c>
      <c r="Z35" s="15">
        <v>0</v>
      </c>
      <c r="AA35" s="15">
        <f t="shared" si="4"/>
        <v>0</v>
      </c>
      <c r="AB35" s="15">
        <f t="shared" si="5"/>
        <v>0</v>
      </c>
      <c r="AC35" s="177"/>
    </row>
    <row r="36" spans="1:29" ht="83.25" customHeight="1" thickBot="1" x14ac:dyDescent="0.3">
      <c r="A36" s="31" t="s">
        <v>156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25" t="e">
        <f t="shared" si="3"/>
        <v>#DIV/0!</v>
      </c>
      <c r="Q36" s="5"/>
      <c r="R36" s="5"/>
      <c r="S36" s="25" t="e">
        <f t="shared" si="0"/>
        <v>#DIV/0!</v>
      </c>
      <c r="T36" s="5"/>
      <c r="U36" s="5"/>
      <c r="V36" s="25" t="e">
        <f t="shared" si="1"/>
        <v>#DIV/0!</v>
      </c>
      <c r="W36" s="5"/>
      <c r="X36" s="5"/>
      <c r="Y36" s="25" t="e">
        <f t="shared" si="2"/>
        <v>#DIV/0!</v>
      </c>
      <c r="Z36" s="15">
        <v>0</v>
      </c>
      <c r="AA36" s="15">
        <f t="shared" si="4"/>
        <v>0</v>
      </c>
      <c r="AB36" s="15">
        <f t="shared" si="5"/>
        <v>0</v>
      </c>
      <c r="AC36" s="177"/>
    </row>
    <row r="37" spans="1:29" ht="56.25" customHeight="1" thickBot="1" x14ac:dyDescent="0.3">
      <c r="A37" s="162" t="s">
        <v>157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3" t="e">
        <f t="shared" si="3"/>
        <v>#DIV/0!</v>
      </c>
      <c r="Q37" s="163">
        <f>SUM(Q38)</f>
        <v>0</v>
      </c>
      <c r="R37" s="163">
        <f>SUM(R38)</f>
        <v>0</v>
      </c>
      <c r="S37" s="163" t="e">
        <f t="shared" si="0"/>
        <v>#DIV/0!</v>
      </c>
      <c r="T37" s="163">
        <f>SUM(T38)</f>
        <v>0</v>
      </c>
      <c r="U37" s="163">
        <f>SUM(U38)</f>
        <v>0</v>
      </c>
      <c r="V37" s="163" t="e">
        <f t="shared" si="1"/>
        <v>#DIV/0!</v>
      </c>
      <c r="W37" s="163">
        <f>SUM(W38)</f>
        <v>0</v>
      </c>
      <c r="X37" s="163">
        <f>SUM(X38)</f>
        <v>0</v>
      </c>
      <c r="Y37" s="163" t="e">
        <f t="shared" si="2"/>
        <v>#DIV/0!</v>
      </c>
      <c r="Z37" s="163">
        <v>0</v>
      </c>
      <c r="AA37" s="163">
        <f t="shared" si="4"/>
        <v>0</v>
      </c>
      <c r="AB37" s="163">
        <f t="shared" si="5"/>
        <v>0</v>
      </c>
      <c r="AC37" s="177"/>
    </row>
    <row r="38" spans="1:29" ht="101.25" customHeight="1" thickBot="1" x14ac:dyDescent="0.3">
      <c r="A38" s="31" t="s">
        <v>158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25" t="e">
        <f t="shared" si="3"/>
        <v>#DIV/0!</v>
      </c>
      <c r="Q38" s="5"/>
      <c r="R38" s="5"/>
      <c r="S38" s="25" t="e">
        <f t="shared" si="0"/>
        <v>#DIV/0!</v>
      </c>
      <c r="T38" s="5"/>
      <c r="U38" s="5"/>
      <c r="V38" s="25" t="e">
        <f t="shared" si="1"/>
        <v>#DIV/0!</v>
      </c>
      <c r="W38" s="5"/>
      <c r="X38" s="5"/>
      <c r="Y38" s="25" t="e">
        <f t="shared" si="2"/>
        <v>#DIV/0!</v>
      </c>
      <c r="Z38" s="15">
        <v>0</v>
      </c>
      <c r="AA38" s="15">
        <f t="shared" si="4"/>
        <v>0</v>
      </c>
      <c r="AB38" s="15">
        <f t="shared" si="5"/>
        <v>0</v>
      </c>
      <c r="AC38" s="177"/>
    </row>
    <row r="39" spans="1:29" ht="30.75" customHeight="1" thickBot="1" x14ac:dyDescent="0.3">
      <c r="A39" s="162" t="s">
        <v>159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3" t="e">
        <f t="shared" si="3"/>
        <v>#DIV/0!</v>
      </c>
      <c r="Q39" s="163">
        <f>SUM(Q40)</f>
        <v>0</v>
      </c>
      <c r="R39" s="163">
        <f>SUM(R40)</f>
        <v>0</v>
      </c>
      <c r="S39" s="163" t="e">
        <f t="shared" si="0"/>
        <v>#DIV/0!</v>
      </c>
      <c r="T39" s="163">
        <f>SUM(T40)</f>
        <v>0</v>
      </c>
      <c r="U39" s="163">
        <f>SUM(U40)</f>
        <v>0</v>
      </c>
      <c r="V39" s="163" t="e">
        <f t="shared" si="1"/>
        <v>#DIV/0!</v>
      </c>
      <c r="W39" s="163">
        <f>SUM(W40)</f>
        <v>0</v>
      </c>
      <c r="X39" s="163">
        <f>SUM(X40)</f>
        <v>0</v>
      </c>
      <c r="Y39" s="163" t="e">
        <f t="shared" si="2"/>
        <v>#DIV/0!</v>
      </c>
      <c r="Z39" s="163">
        <v>0</v>
      </c>
      <c r="AA39" s="163">
        <f t="shared" si="4"/>
        <v>0</v>
      </c>
      <c r="AB39" s="163">
        <f t="shared" si="5"/>
        <v>0</v>
      </c>
      <c r="AC39" s="177"/>
    </row>
    <row r="40" spans="1:29" ht="45.75" customHeight="1" thickBot="1" x14ac:dyDescent="0.3">
      <c r="A40" s="31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5" t="e">
        <f t="shared" si="3"/>
        <v>#DIV/0!</v>
      </c>
      <c r="Q40" s="5"/>
      <c r="R40" s="5"/>
      <c r="S40" s="25" t="e">
        <f t="shared" si="0"/>
        <v>#DIV/0!</v>
      </c>
      <c r="T40" s="5"/>
      <c r="U40" s="5"/>
      <c r="V40" s="25" t="e">
        <f t="shared" si="1"/>
        <v>#DIV/0!</v>
      </c>
      <c r="W40" s="5"/>
      <c r="X40" s="5"/>
      <c r="Y40" s="25" t="e">
        <f t="shared" si="2"/>
        <v>#DIV/0!</v>
      </c>
      <c r="Z40" s="15">
        <v>0</v>
      </c>
      <c r="AA40" s="15">
        <f t="shared" si="4"/>
        <v>0</v>
      </c>
      <c r="AB40" s="15">
        <f t="shared" si="5"/>
        <v>0</v>
      </c>
      <c r="AC40" s="177"/>
    </row>
    <row r="41" spans="1:29" ht="15.75" thickBot="1" x14ac:dyDescent="0.3">
      <c r="A41" s="165" t="s">
        <v>315</v>
      </c>
      <c r="B41" s="166">
        <f>SUM(B6:B40)</f>
        <v>0</v>
      </c>
      <c r="C41" s="166">
        <f t="shared" ref="C41:O41" si="6">SUM(C6:C40)</f>
        <v>0</v>
      </c>
      <c r="D41" s="166">
        <f t="shared" si="6"/>
        <v>0</v>
      </c>
      <c r="E41" s="166">
        <f t="shared" si="6"/>
        <v>0</v>
      </c>
      <c r="F41" s="166">
        <f t="shared" si="6"/>
        <v>0</v>
      </c>
      <c r="G41" s="166">
        <f t="shared" si="6"/>
        <v>0</v>
      </c>
      <c r="H41" s="166">
        <f t="shared" si="6"/>
        <v>0</v>
      </c>
      <c r="I41" s="166">
        <f>SUM(I6:I40)</f>
        <v>0</v>
      </c>
      <c r="J41" s="166">
        <f t="shared" si="6"/>
        <v>0</v>
      </c>
      <c r="K41" s="166">
        <f t="shared" si="6"/>
        <v>0</v>
      </c>
      <c r="L41" s="166">
        <f t="shared" si="6"/>
        <v>0</v>
      </c>
      <c r="M41" s="166">
        <f t="shared" si="6"/>
        <v>0</v>
      </c>
      <c r="N41" s="166">
        <f t="shared" si="6"/>
        <v>0</v>
      </c>
      <c r="O41" s="166">
        <f t="shared" si="6"/>
        <v>0</v>
      </c>
      <c r="P41" s="167" t="e">
        <f t="shared" ref="P41" si="7">O41/N41</f>
        <v>#DIV/0!</v>
      </c>
      <c r="Q41" s="168"/>
      <c r="R41" s="168"/>
      <c r="S41" s="167" t="e">
        <f t="shared" si="0"/>
        <v>#DIV/0!</v>
      </c>
      <c r="T41" s="168"/>
      <c r="U41" s="168"/>
      <c r="V41" s="167" t="e">
        <f t="shared" si="1"/>
        <v>#DIV/0!</v>
      </c>
      <c r="W41" s="168"/>
      <c r="X41" s="168"/>
      <c r="Y41" s="167" t="e">
        <f t="shared" si="2"/>
        <v>#DIV/0!</v>
      </c>
      <c r="Z41" s="169">
        <v>0</v>
      </c>
      <c r="AA41" s="169">
        <f t="shared" si="4"/>
        <v>0</v>
      </c>
      <c r="AB41" s="169">
        <f t="shared" si="5"/>
        <v>0</v>
      </c>
      <c r="AC41" s="177"/>
    </row>
    <row r="42" spans="1:29" ht="15.75" thickBot="1" x14ac:dyDescent="0.3">
      <c r="A42" s="241" t="s">
        <v>12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177"/>
    </row>
    <row r="43" spans="1:29" ht="26.25" thickBot="1" x14ac:dyDescent="0.3">
      <c r="A43" s="162" t="s">
        <v>163</v>
      </c>
      <c r="B43" s="162">
        <v>0</v>
      </c>
      <c r="C43" s="162">
        <v>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3" t="e">
        <f>I43/B43</f>
        <v>#DIV/0!</v>
      </c>
      <c r="Q43" s="163">
        <f>SUM(Q44:Q45)</f>
        <v>0</v>
      </c>
      <c r="R43" s="163">
        <f>SUM(R44:R45)</f>
        <v>0</v>
      </c>
      <c r="S43" s="163" t="e">
        <f t="shared" ref="S43:S90" si="8">R43/Q43</f>
        <v>#DIV/0!</v>
      </c>
      <c r="T43" s="163">
        <f>SUM(T44:T45)</f>
        <v>0</v>
      </c>
      <c r="U43" s="163">
        <f>SUM(U44:U45)</f>
        <v>0</v>
      </c>
      <c r="V43" s="163" t="e">
        <f t="shared" ref="V43:V90" si="9">U43/T43</f>
        <v>#DIV/0!</v>
      </c>
      <c r="W43" s="163">
        <f>SUM(W44:W45)</f>
        <v>0</v>
      </c>
      <c r="X43" s="163">
        <f>SUM(X44:X45)</f>
        <v>0</v>
      </c>
      <c r="Y43" s="163" t="e">
        <f t="shared" ref="Y43:Y90" si="10">X43/W43</f>
        <v>#DIV/0!</v>
      </c>
      <c r="Z43" s="163">
        <v>0</v>
      </c>
      <c r="AA43" s="163">
        <f t="shared" si="4"/>
        <v>0</v>
      </c>
      <c r="AB43" s="163">
        <f t="shared" si="5"/>
        <v>0</v>
      </c>
      <c r="AC43" s="177"/>
    </row>
    <row r="44" spans="1:29" ht="15.75" thickBot="1" x14ac:dyDescent="0.3">
      <c r="A44" s="31" t="s">
        <v>164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25" t="e">
        <f t="shared" ref="P44:P90" si="11">I44/B44</f>
        <v>#DIV/0!</v>
      </c>
      <c r="Q44" s="5"/>
      <c r="R44" s="5"/>
      <c r="S44" s="25" t="e">
        <f t="shared" si="8"/>
        <v>#DIV/0!</v>
      </c>
      <c r="T44" s="5"/>
      <c r="U44" s="5"/>
      <c r="V44" s="25" t="e">
        <f t="shared" si="9"/>
        <v>#DIV/0!</v>
      </c>
      <c r="W44" s="5"/>
      <c r="X44" s="5"/>
      <c r="Y44" s="25" t="e">
        <f t="shared" si="10"/>
        <v>#DIV/0!</v>
      </c>
      <c r="Z44" s="15">
        <v>0</v>
      </c>
      <c r="AA44" s="15">
        <f t="shared" si="4"/>
        <v>0</v>
      </c>
      <c r="AB44" s="15">
        <f t="shared" si="5"/>
        <v>0</v>
      </c>
      <c r="AC44" s="177"/>
    </row>
    <row r="45" spans="1:29" ht="15.75" thickBot="1" x14ac:dyDescent="0.3">
      <c r="A45" s="31" t="s">
        <v>165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25" t="e">
        <f t="shared" si="11"/>
        <v>#DIV/0!</v>
      </c>
      <c r="Q45" s="5"/>
      <c r="R45" s="5"/>
      <c r="S45" s="25" t="e">
        <f t="shared" si="8"/>
        <v>#DIV/0!</v>
      </c>
      <c r="T45" s="5"/>
      <c r="U45" s="5"/>
      <c r="V45" s="25" t="e">
        <f t="shared" si="9"/>
        <v>#DIV/0!</v>
      </c>
      <c r="W45" s="5"/>
      <c r="X45" s="5"/>
      <c r="Y45" s="25" t="e">
        <f t="shared" si="10"/>
        <v>#DIV/0!</v>
      </c>
      <c r="Z45" s="15">
        <v>0</v>
      </c>
      <c r="AA45" s="15">
        <f t="shared" si="4"/>
        <v>0</v>
      </c>
      <c r="AB45" s="15">
        <f t="shared" si="5"/>
        <v>0</v>
      </c>
      <c r="AC45" s="177"/>
    </row>
    <row r="46" spans="1:29" ht="26.25" thickBot="1" x14ac:dyDescent="0.3">
      <c r="A46" s="162" t="s">
        <v>166</v>
      </c>
      <c r="B46" s="162">
        <v>0</v>
      </c>
      <c r="C46" s="162">
        <v>0</v>
      </c>
      <c r="D46" s="162">
        <v>0</v>
      </c>
      <c r="E46" s="162">
        <v>0</v>
      </c>
      <c r="F46" s="162">
        <v>0</v>
      </c>
      <c r="G46" s="162">
        <v>0</v>
      </c>
      <c r="H46" s="162">
        <v>0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3" t="e">
        <f t="shared" si="11"/>
        <v>#DIV/0!</v>
      </c>
      <c r="Q46" s="163">
        <f>SUM(Q47:Q68)</f>
        <v>0</v>
      </c>
      <c r="R46" s="163">
        <f>SUM(R47:R68)</f>
        <v>0</v>
      </c>
      <c r="S46" s="163" t="e">
        <f t="shared" si="8"/>
        <v>#DIV/0!</v>
      </c>
      <c r="T46" s="163">
        <f>SUM(T47:T68)</f>
        <v>0</v>
      </c>
      <c r="U46" s="163">
        <f>SUM(U47:U68)</f>
        <v>0</v>
      </c>
      <c r="V46" s="163" t="e">
        <f t="shared" si="9"/>
        <v>#DIV/0!</v>
      </c>
      <c r="W46" s="163">
        <f>SUM(W47:W68)</f>
        <v>0</v>
      </c>
      <c r="X46" s="163">
        <f>SUM(X47:X68)</f>
        <v>0</v>
      </c>
      <c r="Y46" s="163" t="e">
        <f t="shared" si="10"/>
        <v>#DIV/0!</v>
      </c>
      <c r="Z46" s="163">
        <v>0</v>
      </c>
      <c r="AA46" s="163">
        <f t="shared" si="4"/>
        <v>0</v>
      </c>
      <c r="AB46" s="163">
        <f>X46-W46</f>
        <v>0</v>
      </c>
      <c r="AC46" s="177"/>
    </row>
    <row r="47" spans="1:29" ht="15.75" thickBot="1" x14ac:dyDescent="0.3">
      <c r="A47" s="31" t="s">
        <v>167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25" t="e">
        <f t="shared" si="11"/>
        <v>#DIV/0!</v>
      </c>
      <c r="Q47" s="5"/>
      <c r="R47" s="5"/>
      <c r="S47" s="25" t="e">
        <f t="shared" si="8"/>
        <v>#DIV/0!</v>
      </c>
      <c r="T47" s="5"/>
      <c r="U47" s="5"/>
      <c r="V47" s="25" t="e">
        <f t="shared" si="9"/>
        <v>#DIV/0!</v>
      </c>
      <c r="W47" s="5"/>
      <c r="X47" s="5"/>
      <c r="Y47" s="25" t="e">
        <f t="shared" si="10"/>
        <v>#DIV/0!</v>
      </c>
      <c r="Z47" s="15">
        <v>0</v>
      </c>
      <c r="AA47" s="15">
        <f t="shared" si="4"/>
        <v>0</v>
      </c>
      <c r="AB47" s="15">
        <f t="shared" si="5"/>
        <v>0</v>
      </c>
      <c r="AC47" s="177"/>
    </row>
    <row r="48" spans="1:29" ht="26.25" thickBot="1" x14ac:dyDescent="0.3">
      <c r="A48" s="31" t="s">
        <v>168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25" t="e">
        <f t="shared" si="11"/>
        <v>#DIV/0!</v>
      </c>
      <c r="Q48" s="5"/>
      <c r="R48" s="5"/>
      <c r="S48" s="25" t="e">
        <f t="shared" si="8"/>
        <v>#DIV/0!</v>
      </c>
      <c r="T48" s="5"/>
      <c r="U48" s="5"/>
      <c r="V48" s="25" t="e">
        <f t="shared" si="9"/>
        <v>#DIV/0!</v>
      </c>
      <c r="W48" s="5"/>
      <c r="X48" s="5"/>
      <c r="Y48" s="25" t="e">
        <f t="shared" si="10"/>
        <v>#DIV/0!</v>
      </c>
      <c r="Z48" s="15">
        <v>0</v>
      </c>
      <c r="AA48" s="15">
        <f t="shared" si="4"/>
        <v>0</v>
      </c>
      <c r="AB48" s="15">
        <f t="shared" si="5"/>
        <v>0</v>
      </c>
      <c r="AC48" s="177"/>
    </row>
    <row r="49" spans="1:29" ht="26.25" thickBot="1" x14ac:dyDescent="0.3">
      <c r="A49" s="31" t="s">
        <v>169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5" t="e">
        <f t="shared" si="11"/>
        <v>#DIV/0!</v>
      </c>
      <c r="Q49" s="5"/>
      <c r="R49" s="5"/>
      <c r="S49" s="25" t="e">
        <f t="shared" si="8"/>
        <v>#DIV/0!</v>
      </c>
      <c r="T49" s="5"/>
      <c r="U49" s="5"/>
      <c r="V49" s="25" t="e">
        <f t="shared" si="9"/>
        <v>#DIV/0!</v>
      </c>
      <c r="W49" s="5"/>
      <c r="X49" s="5"/>
      <c r="Y49" s="25" t="e">
        <f t="shared" si="10"/>
        <v>#DIV/0!</v>
      </c>
      <c r="Z49" s="15">
        <v>0</v>
      </c>
      <c r="AA49" s="15">
        <f t="shared" si="4"/>
        <v>0</v>
      </c>
      <c r="AB49" s="15">
        <f t="shared" si="5"/>
        <v>0</v>
      </c>
      <c r="AC49" s="177"/>
    </row>
    <row r="50" spans="1:29" ht="39" thickBot="1" x14ac:dyDescent="0.3">
      <c r="A50" s="31" t="s">
        <v>214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25" t="e">
        <f t="shared" si="11"/>
        <v>#DIV/0!</v>
      </c>
      <c r="Q50" s="5"/>
      <c r="R50" s="5"/>
      <c r="S50" s="25" t="e">
        <f t="shared" si="8"/>
        <v>#DIV/0!</v>
      </c>
      <c r="T50" s="5"/>
      <c r="U50" s="5"/>
      <c r="V50" s="25" t="e">
        <f t="shared" si="9"/>
        <v>#DIV/0!</v>
      </c>
      <c r="W50" s="5"/>
      <c r="X50" s="5"/>
      <c r="Y50" s="25" t="e">
        <f t="shared" si="10"/>
        <v>#DIV/0!</v>
      </c>
      <c r="Z50" s="15">
        <v>0</v>
      </c>
      <c r="AA50" s="15">
        <f t="shared" si="4"/>
        <v>0</v>
      </c>
      <c r="AB50" s="15">
        <f t="shared" si="5"/>
        <v>0</v>
      </c>
      <c r="AC50" s="177"/>
    </row>
    <row r="51" spans="1:29" ht="26.25" thickBot="1" x14ac:dyDescent="0.3">
      <c r="A51" s="162" t="s">
        <v>170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 t="e">
        <f t="shared" si="11"/>
        <v>#DIV/0!</v>
      </c>
      <c r="Q51" s="162"/>
      <c r="R51" s="162"/>
      <c r="S51" s="162" t="e">
        <f t="shared" si="8"/>
        <v>#DIV/0!</v>
      </c>
      <c r="T51" s="162"/>
      <c r="U51" s="162"/>
      <c r="V51" s="162" t="e">
        <f t="shared" si="9"/>
        <v>#DIV/0!</v>
      </c>
      <c r="W51" s="162"/>
      <c r="X51" s="162"/>
      <c r="Y51" s="162" t="e">
        <f t="shared" si="10"/>
        <v>#DIV/0!</v>
      </c>
      <c r="Z51" s="162">
        <v>0</v>
      </c>
      <c r="AA51" s="162">
        <f t="shared" si="4"/>
        <v>0</v>
      </c>
      <c r="AB51" s="162">
        <f t="shared" si="5"/>
        <v>0</v>
      </c>
      <c r="AC51" s="177"/>
    </row>
    <row r="52" spans="1:29" ht="41.25" customHeight="1" thickBot="1" x14ac:dyDescent="0.3">
      <c r="A52" s="31" t="s">
        <v>187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25" t="e">
        <f t="shared" si="11"/>
        <v>#DIV/0!</v>
      </c>
      <c r="Q52" s="5"/>
      <c r="R52" s="5"/>
      <c r="S52" s="25" t="e">
        <f t="shared" si="8"/>
        <v>#DIV/0!</v>
      </c>
      <c r="T52" s="5"/>
      <c r="U52" s="5"/>
      <c r="V52" s="25" t="e">
        <f t="shared" si="9"/>
        <v>#DIV/0!</v>
      </c>
      <c r="W52" s="5"/>
      <c r="X52" s="5"/>
      <c r="Y52" s="25" t="e">
        <f t="shared" si="10"/>
        <v>#DIV/0!</v>
      </c>
      <c r="Z52" s="15">
        <v>0</v>
      </c>
      <c r="AA52" s="15">
        <f t="shared" si="4"/>
        <v>0</v>
      </c>
      <c r="AB52" s="15">
        <f t="shared" si="5"/>
        <v>0</v>
      </c>
      <c r="AC52" s="177"/>
    </row>
    <row r="53" spans="1:29" ht="42.75" customHeight="1" thickBot="1" x14ac:dyDescent="0.3">
      <c r="A53" s="31" t="s">
        <v>186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25" t="e">
        <f t="shared" si="11"/>
        <v>#DIV/0!</v>
      </c>
      <c r="Q53" s="5"/>
      <c r="R53" s="5"/>
      <c r="S53" s="25" t="e">
        <f t="shared" si="8"/>
        <v>#DIV/0!</v>
      </c>
      <c r="T53" s="5"/>
      <c r="U53" s="5"/>
      <c r="V53" s="25" t="e">
        <f t="shared" si="9"/>
        <v>#DIV/0!</v>
      </c>
      <c r="W53" s="5"/>
      <c r="X53" s="5"/>
      <c r="Y53" s="25" t="e">
        <f t="shared" si="10"/>
        <v>#DIV/0!</v>
      </c>
      <c r="Z53" s="15">
        <v>0</v>
      </c>
      <c r="AA53" s="15">
        <f t="shared" si="4"/>
        <v>0</v>
      </c>
      <c r="AB53" s="15">
        <f t="shared" si="5"/>
        <v>0</v>
      </c>
      <c r="AC53" s="177"/>
    </row>
    <row r="54" spans="1:29" ht="15.75" thickBot="1" x14ac:dyDescent="0.3">
      <c r="A54" s="31" t="s">
        <v>171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5" t="e">
        <f t="shared" si="11"/>
        <v>#DIV/0!</v>
      </c>
      <c r="Q54" s="5"/>
      <c r="R54" s="5"/>
      <c r="S54" s="25" t="e">
        <f t="shared" si="8"/>
        <v>#DIV/0!</v>
      </c>
      <c r="T54" s="5"/>
      <c r="U54" s="5"/>
      <c r="V54" s="25" t="e">
        <f t="shared" si="9"/>
        <v>#DIV/0!</v>
      </c>
      <c r="W54" s="5"/>
      <c r="X54" s="5"/>
      <c r="Y54" s="25" t="e">
        <f t="shared" si="10"/>
        <v>#DIV/0!</v>
      </c>
      <c r="Z54" s="15">
        <v>0</v>
      </c>
      <c r="AA54" s="15">
        <f t="shared" si="4"/>
        <v>0</v>
      </c>
      <c r="AB54" s="15">
        <f t="shared" si="5"/>
        <v>0</v>
      </c>
      <c r="AC54" s="177"/>
    </row>
    <row r="55" spans="1:29" ht="15.75" thickBot="1" x14ac:dyDescent="0.3">
      <c r="A55" s="31" t="s">
        <v>172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25" t="e">
        <f t="shared" si="11"/>
        <v>#DIV/0!</v>
      </c>
      <c r="Q55" s="5"/>
      <c r="R55" s="5"/>
      <c r="S55" s="25" t="e">
        <f t="shared" si="8"/>
        <v>#DIV/0!</v>
      </c>
      <c r="T55" s="5"/>
      <c r="U55" s="5"/>
      <c r="V55" s="25" t="e">
        <f t="shared" si="9"/>
        <v>#DIV/0!</v>
      </c>
      <c r="W55" s="5"/>
      <c r="X55" s="5"/>
      <c r="Y55" s="25" t="e">
        <f t="shared" si="10"/>
        <v>#DIV/0!</v>
      </c>
      <c r="Z55" s="15">
        <v>0</v>
      </c>
      <c r="AA55" s="15">
        <f t="shared" si="4"/>
        <v>0</v>
      </c>
      <c r="AB55" s="15">
        <f t="shared" si="5"/>
        <v>0</v>
      </c>
      <c r="AC55" s="177"/>
    </row>
    <row r="56" spans="1:29" ht="27.75" customHeight="1" thickBot="1" x14ac:dyDescent="0.3">
      <c r="A56" s="31" t="s">
        <v>633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25" t="e">
        <f t="shared" si="11"/>
        <v>#DIV/0!</v>
      </c>
      <c r="Q56" s="5"/>
      <c r="R56" s="5"/>
      <c r="S56" s="25" t="e">
        <f t="shared" si="8"/>
        <v>#DIV/0!</v>
      </c>
      <c r="T56" s="5"/>
      <c r="U56" s="5"/>
      <c r="V56" s="25" t="e">
        <f t="shared" si="9"/>
        <v>#DIV/0!</v>
      </c>
      <c r="W56" s="5"/>
      <c r="X56" s="5"/>
      <c r="Y56" s="25" t="e">
        <f t="shared" si="10"/>
        <v>#DIV/0!</v>
      </c>
      <c r="Z56" s="15">
        <v>0</v>
      </c>
      <c r="AA56" s="15">
        <f t="shared" si="4"/>
        <v>0</v>
      </c>
      <c r="AB56" s="15">
        <f t="shared" si="5"/>
        <v>0</v>
      </c>
      <c r="AC56" s="177"/>
    </row>
    <row r="57" spans="1:29" ht="15.75" thickBot="1" x14ac:dyDescent="0.3">
      <c r="A57" s="31" t="s">
        <v>174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25" t="e">
        <f t="shared" si="11"/>
        <v>#DIV/0!</v>
      </c>
      <c r="Q57" s="5"/>
      <c r="R57" s="5"/>
      <c r="S57" s="25" t="e">
        <f t="shared" si="8"/>
        <v>#DIV/0!</v>
      </c>
      <c r="T57" s="5"/>
      <c r="U57" s="5"/>
      <c r="V57" s="25" t="e">
        <f t="shared" si="9"/>
        <v>#DIV/0!</v>
      </c>
      <c r="W57" s="5"/>
      <c r="X57" s="5"/>
      <c r="Y57" s="25" t="e">
        <f t="shared" si="10"/>
        <v>#DIV/0!</v>
      </c>
      <c r="Z57" s="15">
        <v>0</v>
      </c>
      <c r="AA57" s="15">
        <f t="shared" si="4"/>
        <v>0</v>
      </c>
      <c r="AB57" s="15">
        <f t="shared" si="5"/>
        <v>0</v>
      </c>
      <c r="AC57" s="177"/>
    </row>
    <row r="58" spans="1:29" ht="15.75" thickBot="1" x14ac:dyDescent="0.3">
      <c r="A58" s="31" t="s">
        <v>175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25" t="e">
        <f t="shared" si="11"/>
        <v>#DIV/0!</v>
      </c>
      <c r="Q58" s="5"/>
      <c r="R58" s="5"/>
      <c r="S58" s="25" t="e">
        <f t="shared" si="8"/>
        <v>#DIV/0!</v>
      </c>
      <c r="T58" s="5"/>
      <c r="U58" s="5"/>
      <c r="V58" s="25" t="e">
        <f t="shared" si="9"/>
        <v>#DIV/0!</v>
      </c>
      <c r="W58" s="5"/>
      <c r="X58" s="5"/>
      <c r="Y58" s="25" t="e">
        <f t="shared" si="10"/>
        <v>#DIV/0!</v>
      </c>
      <c r="Z58" s="15">
        <v>0</v>
      </c>
      <c r="AA58" s="15">
        <f t="shared" si="4"/>
        <v>0</v>
      </c>
      <c r="AB58" s="15">
        <f t="shared" si="5"/>
        <v>0</v>
      </c>
      <c r="AC58" s="177"/>
    </row>
    <row r="59" spans="1:29" ht="15.75" thickBot="1" x14ac:dyDescent="0.3">
      <c r="A59" s="31" t="s">
        <v>176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25" t="e">
        <f t="shared" si="11"/>
        <v>#DIV/0!</v>
      </c>
      <c r="Q59" s="5"/>
      <c r="R59" s="5"/>
      <c r="S59" s="25" t="e">
        <f t="shared" si="8"/>
        <v>#DIV/0!</v>
      </c>
      <c r="T59" s="5"/>
      <c r="U59" s="5"/>
      <c r="V59" s="25" t="e">
        <f t="shared" si="9"/>
        <v>#DIV/0!</v>
      </c>
      <c r="W59" s="5"/>
      <c r="X59" s="5"/>
      <c r="Y59" s="25" t="e">
        <f t="shared" si="10"/>
        <v>#DIV/0!</v>
      </c>
      <c r="Z59" s="15">
        <v>0</v>
      </c>
      <c r="AA59" s="15">
        <f t="shared" si="4"/>
        <v>0</v>
      </c>
      <c r="AB59" s="15">
        <f t="shared" si="5"/>
        <v>0</v>
      </c>
      <c r="AC59" s="177"/>
    </row>
    <row r="60" spans="1:29" ht="15.75" thickBot="1" x14ac:dyDescent="0.3">
      <c r="A60" s="31" t="s">
        <v>177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25" t="e">
        <f t="shared" si="11"/>
        <v>#DIV/0!</v>
      </c>
      <c r="Q60" s="5"/>
      <c r="R60" s="5"/>
      <c r="S60" s="25" t="e">
        <f t="shared" si="8"/>
        <v>#DIV/0!</v>
      </c>
      <c r="T60" s="5"/>
      <c r="U60" s="5"/>
      <c r="V60" s="25" t="e">
        <f t="shared" si="9"/>
        <v>#DIV/0!</v>
      </c>
      <c r="W60" s="5"/>
      <c r="X60" s="5"/>
      <c r="Y60" s="25" t="e">
        <f t="shared" si="10"/>
        <v>#DIV/0!</v>
      </c>
      <c r="Z60" s="15">
        <v>0</v>
      </c>
      <c r="AA60" s="15">
        <f t="shared" si="4"/>
        <v>0</v>
      </c>
      <c r="AB60" s="15">
        <f t="shared" si="5"/>
        <v>0</v>
      </c>
      <c r="AC60" s="177"/>
    </row>
    <row r="61" spans="1:29" ht="26.25" thickBot="1" x14ac:dyDescent="0.3">
      <c r="A61" s="31" t="s">
        <v>178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25" t="e">
        <f t="shared" si="11"/>
        <v>#DIV/0!</v>
      </c>
      <c r="Q61" s="5"/>
      <c r="R61" s="5"/>
      <c r="S61" s="25" t="e">
        <f t="shared" si="8"/>
        <v>#DIV/0!</v>
      </c>
      <c r="T61" s="5"/>
      <c r="U61" s="5"/>
      <c r="V61" s="25" t="e">
        <f t="shared" si="9"/>
        <v>#DIV/0!</v>
      </c>
      <c r="W61" s="5"/>
      <c r="X61" s="5"/>
      <c r="Y61" s="25" t="e">
        <f t="shared" si="10"/>
        <v>#DIV/0!</v>
      </c>
      <c r="Z61" s="15">
        <v>0</v>
      </c>
      <c r="AA61" s="15">
        <f t="shared" si="4"/>
        <v>0</v>
      </c>
      <c r="AB61" s="15">
        <f t="shared" si="5"/>
        <v>0</v>
      </c>
      <c r="AC61" s="177"/>
    </row>
    <row r="62" spans="1:29" ht="26.25" thickBot="1" x14ac:dyDescent="0.3">
      <c r="A62" s="31" t="s">
        <v>179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25" t="e">
        <f t="shared" si="11"/>
        <v>#DIV/0!</v>
      </c>
      <c r="Q62" s="5"/>
      <c r="R62" s="5"/>
      <c r="S62" s="25" t="e">
        <f t="shared" si="8"/>
        <v>#DIV/0!</v>
      </c>
      <c r="T62" s="5"/>
      <c r="U62" s="5"/>
      <c r="V62" s="25" t="e">
        <f t="shared" si="9"/>
        <v>#DIV/0!</v>
      </c>
      <c r="W62" s="5"/>
      <c r="X62" s="5"/>
      <c r="Y62" s="25" t="e">
        <f t="shared" si="10"/>
        <v>#DIV/0!</v>
      </c>
      <c r="Z62" s="15">
        <v>0</v>
      </c>
      <c r="AA62" s="15">
        <f t="shared" si="4"/>
        <v>0</v>
      </c>
      <c r="AB62" s="15">
        <f t="shared" si="5"/>
        <v>0</v>
      </c>
      <c r="AC62" s="177"/>
    </row>
    <row r="63" spans="1:29" ht="15.75" thickBot="1" x14ac:dyDescent="0.3">
      <c r="A63" s="31" t="s">
        <v>180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25" t="e">
        <f t="shared" si="11"/>
        <v>#DIV/0!</v>
      </c>
      <c r="Q63" s="5"/>
      <c r="R63" s="5"/>
      <c r="S63" s="25" t="e">
        <f t="shared" si="8"/>
        <v>#DIV/0!</v>
      </c>
      <c r="T63" s="5"/>
      <c r="U63" s="5"/>
      <c r="V63" s="25" t="e">
        <f t="shared" si="9"/>
        <v>#DIV/0!</v>
      </c>
      <c r="W63" s="5"/>
      <c r="X63" s="5"/>
      <c r="Y63" s="25" t="e">
        <f t="shared" si="10"/>
        <v>#DIV/0!</v>
      </c>
      <c r="Z63" s="15">
        <v>0</v>
      </c>
      <c r="AA63" s="15">
        <f t="shared" si="4"/>
        <v>0</v>
      </c>
      <c r="AB63" s="15">
        <f t="shared" si="5"/>
        <v>0</v>
      </c>
      <c r="AC63" s="177"/>
    </row>
    <row r="64" spans="1:29" ht="15.75" thickBot="1" x14ac:dyDescent="0.3">
      <c r="A64" s="31" t="s">
        <v>181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5" t="e">
        <f t="shared" si="11"/>
        <v>#DIV/0!</v>
      </c>
      <c r="Q64" s="5"/>
      <c r="R64" s="5"/>
      <c r="S64" s="25" t="e">
        <f t="shared" si="8"/>
        <v>#DIV/0!</v>
      </c>
      <c r="T64" s="5"/>
      <c r="U64" s="5"/>
      <c r="V64" s="25" t="e">
        <f t="shared" si="9"/>
        <v>#DIV/0!</v>
      </c>
      <c r="W64" s="5"/>
      <c r="X64" s="5"/>
      <c r="Y64" s="25" t="e">
        <f t="shared" si="10"/>
        <v>#DIV/0!</v>
      </c>
      <c r="Z64" s="15">
        <v>0</v>
      </c>
      <c r="AA64" s="15">
        <f t="shared" si="4"/>
        <v>0</v>
      </c>
      <c r="AB64" s="15">
        <f t="shared" si="5"/>
        <v>0</v>
      </c>
      <c r="AC64" s="177"/>
    </row>
    <row r="65" spans="1:29" ht="15.75" thickBot="1" x14ac:dyDescent="0.3">
      <c r="A65" s="31" t="s">
        <v>182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25" t="e">
        <f t="shared" si="11"/>
        <v>#DIV/0!</v>
      </c>
      <c r="Q65" s="5"/>
      <c r="R65" s="5"/>
      <c r="S65" s="25" t="e">
        <f t="shared" si="8"/>
        <v>#DIV/0!</v>
      </c>
      <c r="T65" s="5"/>
      <c r="U65" s="5"/>
      <c r="V65" s="25" t="e">
        <f t="shared" si="9"/>
        <v>#DIV/0!</v>
      </c>
      <c r="W65" s="5"/>
      <c r="X65" s="5"/>
      <c r="Y65" s="25" t="e">
        <f t="shared" si="10"/>
        <v>#DIV/0!</v>
      </c>
      <c r="Z65" s="15">
        <v>0</v>
      </c>
      <c r="AA65" s="15">
        <f t="shared" si="4"/>
        <v>0</v>
      </c>
      <c r="AB65" s="15">
        <f t="shared" si="5"/>
        <v>0</v>
      </c>
      <c r="AC65" s="177"/>
    </row>
    <row r="66" spans="1:29" ht="15.75" thickBot="1" x14ac:dyDescent="0.3">
      <c r="A66" s="31" t="s">
        <v>183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25" t="e">
        <f t="shared" si="11"/>
        <v>#DIV/0!</v>
      </c>
      <c r="Q66" s="5"/>
      <c r="R66" s="5"/>
      <c r="S66" s="25" t="e">
        <f t="shared" si="8"/>
        <v>#DIV/0!</v>
      </c>
      <c r="T66" s="5"/>
      <c r="U66" s="5"/>
      <c r="V66" s="25" t="e">
        <f t="shared" si="9"/>
        <v>#DIV/0!</v>
      </c>
      <c r="W66" s="5"/>
      <c r="X66" s="5"/>
      <c r="Y66" s="25" t="e">
        <f t="shared" si="10"/>
        <v>#DIV/0!</v>
      </c>
      <c r="Z66" s="15">
        <v>0</v>
      </c>
      <c r="AA66" s="15">
        <f t="shared" si="4"/>
        <v>0</v>
      </c>
      <c r="AB66" s="15">
        <f t="shared" si="5"/>
        <v>0</v>
      </c>
      <c r="AC66" s="177"/>
    </row>
    <row r="67" spans="1:29" ht="15.75" thickBot="1" x14ac:dyDescent="0.3">
      <c r="A67" s="31" t="s">
        <v>184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25" t="e">
        <f t="shared" si="11"/>
        <v>#DIV/0!</v>
      </c>
      <c r="Q67" s="5"/>
      <c r="R67" s="5"/>
      <c r="S67" s="25" t="e">
        <f t="shared" si="8"/>
        <v>#DIV/0!</v>
      </c>
      <c r="T67" s="5"/>
      <c r="U67" s="5"/>
      <c r="V67" s="25" t="e">
        <f t="shared" si="9"/>
        <v>#DIV/0!</v>
      </c>
      <c r="W67" s="5"/>
      <c r="X67" s="5"/>
      <c r="Y67" s="25" t="e">
        <f t="shared" si="10"/>
        <v>#DIV/0!</v>
      </c>
      <c r="Z67" s="15">
        <v>0</v>
      </c>
      <c r="AA67" s="15">
        <f t="shared" si="4"/>
        <v>0</v>
      </c>
      <c r="AB67" s="15">
        <f t="shared" si="5"/>
        <v>0</v>
      </c>
      <c r="AC67" s="177"/>
    </row>
    <row r="68" spans="1:29" ht="26.25" thickBot="1" x14ac:dyDescent="0.3">
      <c r="A68" s="31" t="s">
        <v>185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25" t="e">
        <f t="shared" si="11"/>
        <v>#DIV/0!</v>
      </c>
      <c r="Q68" s="5"/>
      <c r="R68" s="5"/>
      <c r="S68" s="25" t="e">
        <f t="shared" si="8"/>
        <v>#DIV/0!</v>
      </c>
      <c r="T68" s="5"/>
      <c r="U68" s="5"/>
      <c r="V68" s="25" t="e">
        <f t="shared" si="9"/>
        <v>#DIV/0!</v>
      </c>
      <c r="W68" s="5"/>
      <c r="X68" s="5"/>
      <c r="Y68" s="25" t="e">
        <f t="shared" si="10"/>
        <v>#DIV/0!</v>
      </c>
      <c r="Z68" s="15">
        <v>0</v>
      </c>
      <c r="AA68" s="15">
        <f t="shared" si="4"/>
        <v>0</v>
      </c>
      <c r="AB68" s="15">
        <f t="shared" si="5"/>
        <v>0</v>
      </c>
      <c r="AC68" s="177"/>
    </row>
    <row r="69" spans="1:29" s="177" customFormat="1" ht="15.75" thickBot="1" x14ac:dyDescent="0.3">
      <c r="A69" s="31" t="s">
        <v>634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25"/>
      <c r="Q69" s="5"/>
      <c r="R69" s="5"/>
      <c r="S69" s="25"/>
      <c r="T69" s="5"/>
      <c r="U69" s="5"/>
      <c r="V69" s="25"/>
      <c r="W69" s="5"/>
      <c r="X69" s="5"/>
      <c r="Y69" s="25"/>
      <c r="Z69" s="15"/>
      <c r="AA69" s="15"/>
      <c r="AB69" s="15"/>
    </row>
    <row r="70" spans="1:29" ht="39" thickBot="1" x14ac:dyDescent="0.3">
      <c r="A70" s="162" t="s">
        <v>189</v>
      </c>
      <c r="B70" s="162">
        <v>0</v>
      </c>
      <c r="C70" s="162">
        <v>0</v>
      </c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3" t="e">
        <f t="shared" si="11"/>
        <v>#DIV/0!</v>
      </c>
      <c r="Q70" s="163">
        <f>SUM(Q71:Q74)</f>
        <v>0</v>
      </c>
      <c r="R70" s="163">
        <f>SUM(R71:R74)</f>
        <v>0</v>
      </c>
      <c r="S70" s="163" t="e">
        <f t="shared" si="8"/>
        <v>#DIV/0!</v>
      </c>
      <c r="T70" s="163">
        <f>SUM(T71:T74)</f>
        <v>0</v>
      </c>
      <c r="U70" s="163">
        <f>SUM(U71:U74)</f>
        <v>0</v>
      </c>
      <c r="V70" s="163" t="e">
        <f t="shared" si="9"/>
        <v>#DIV/0!</v>
      </c>
      <c r="W70" s="163">
        <f>SUM(W71:W74)</f>
        <v>0</v>
      </c>
      <c r="X70" s="163">
        <f>SUM(X71:X74)</f>
        <v>0</v>
      </c>
      <c r="Y70" s="163" t="e">
        <f t="shared" si="10"/>
        <v>#DIV/0!</v>
      </c>
      <c r="Z70" s="163">
        <v>0</v>
      </c>
      <c r="AA70" s="163">
        <f t="shared" si="4"/>
        <v>0</v>
      </c>
      <c r="AB70" s="163">
        <f t="shared" si="5"/>
        <v>0</v>
      </c>
      <c r="AC70" s="177"/>
    </row>
    <row r="71" spans="1:29" ht="15.75" thickBot="1" x14ac:dyDescent="0.3">
      <c r="A71" s="31" t="s">
        <v>190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25" t="e">
        <f t="shared" si="11"/>
        <v>#DIV/0!</v>
      </c>
      <c r="Q71" s="5"/>
      <c r="R71" s="5"/>
      <c r="S71" s="25" t="e">
        <f t="shared" si="8"/>
        <v>#DIV/0!</v>
      </c>
      <c r="T71" s="5"/>
      <c r="U71" s="5"/>
      <c r="V71" s="25" t="e">
        <f t="shared" si="9"/>
        <v>#DIV/0!</v>
      </c>
      <c r="W71" s="5"/>
      <c r="X71" s="5"/>
      <c r="Y71" s="25" t="e">
        <f t="shared" si="10"/>
        <v>#DIV/0!</v>
      </c>
      <c r="Z71" s="15">
        <v>0</v>
      </c>
      <c r="AA71" s="15">
        <f t="shared" si="4"/>
        <v>0</v>
      </c>
      <c r="AB71" s="15">
        <f t="shared" si="5"/>
        <v>0</v>
      </c>
      <c r="AC71" s="177"/>
    </row>
    <row r="72" spans="1:29" ht="33" customHeight="1" thickBot="1" x14ac:dyDescent="0.3">
      <c r="A72" s="31" t="s">
        <v>191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25" t="e">
        <f t="shared" si="11"/>
        <v>#DIV/0!</v>
      </c>
      <c r="Q72" s="5"/>
      <c r="R72" s="5"/>
      <c r="S72" s="25" t="e">
        <f t="shared" si="8"/>
        <v>#DIV/0!</v>
      </c>
      <c r="T72" s="5"/>
      <c r="U72" s="5"/>
      <c r="V72" s="25" t="e">
        <f t="shared" si="9"/>
        <v>#DIV/0!</v>
      </c>
      <c r="W72" s="5"/>
      <c r="X72" s="5"/>
      <c r="Y72" s="25" t="e">
        <f t="shared" si="10"/>
        <v>#DIV/0!</v>
      </c>
      <c r="Z72" s="15">
        <v>0</v>
      </c>
      <c r="AA72" s="15">
        <f t="shared" ref="AA72:AA95" si="12">R72-Q72</f>
        <v>0</v>
      </c>
      <c r="AB72" s="15">
        <f t="shared" ref="AB72:AB95" si="13">X72-W72</f>
        <v>0</v>
      </c>
      <c r="AC72" s="177"/>
    </row>
    <row r="73" spans="1:29" ht="15.75" thickBot="1" x14ac:dyDescent="0.3">
      <c r="A73" s="31" t="s">
        <v>192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25" t="e">
        <f t="shared" si="11"/>
        <v>#DIV/0!</v>
      </c>
      <c r="Q73" s="5"/>
      <c r="R73" s="5"/>
      <c r="S73" s="25" t="e">
        <f t="shared" si="8"/>
        <v>#DIV/0!</v>
      </c>
      <c r="T73" s="5"/>
      <c r="U73" s="5"/>
      <c r="V73" s="25" t="e">
        <f t="shared" si="9"/>
        <v>#DIV/0!</v>
      </c>
      <c r="W73" s="5"/>
      <c r="X73" s="5"/>
      <c r="Y73" s="25" t="e">
        <f t="shared" si="10"/>
        <v>#DIV/0!</v>
      </c>
      <c r="Z73" s="15">
        <v>0</v>
      </c>
      <c r="AA73" s="15">
        <f t="shared" si="12"/>
        <v>0</v>
      </c>
      <c r="AB73" s="15">
        <f t="shared" si="13"/>
        <v>0</v>
      </c>
      <c r="AC73" s="177"/>
    </row>
    <row r="74" spans="1:29" ht="15.75" thickBot="1" x14ac:dyDescent="0.3">
      <c r="A74" s="31" t="s">
        <v>193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25" t="e">
        <f t="shared" si="11"/>
        <v>#DIV/0!</v>
      </c>
      <c r="Q74" s="5"/>
      <c r="R74" s="5"/>
      <c r="S74" s="25" t="e">
        <f t="shared" si="8"/>
        <v>#DIV/0!</v>
      </c>
      <c r="T74" s="5"/>
      <c r="U74" s="5"/>
      <c r="V74" s="25" t="e">
        <f t="shared" si="9"/>
        <v>#DIV/0!</v>
      </c>
      <c r="W74" s="5"/>
      <c r="X74" s="5"/>
      <c r="Y74" s="25" t="e">
        <f t="shared" si="10"/>
        <v>#DIV/0!</v>
      </c>
      <c r="Z74" s="15">
        <v>0</v>
      </c>
      <c r="AA74" s="15">
        <f t="shared" si="12"/>
        <v>0</v>
      </c>
      <c r="AB74" s="15">
        <f t="shared" si="13"/>
        <v>0</v>
      </c>
      <c r="AC74" s="177"/>
    </row>
    <row r="75" spans="1:29" ht="26.25" thickBot="1" x14ac:dyDescent="0.3">
      <c r="A75" s="162" t="s">
        <v>194</v>
      </c>
      <c r="B75" s="162">
        <v>0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2">
        <v>0</v>
      </c>
      <c r="J75" s="162">
        <v>0</v>
      </c>
      <c r="K75" s="162">
        <v>0</v>
      </c>
      <c r="L75" s="162">
        <v>0</v>
      </c>
      <c r="M75" s="162">
        <v>0</v>
      </c>
      <c r="N75" s="162">
        <v>0</v>
      </c>
      <c r="O75" s="162">
        <v>0</v>
      </c>
      <c r="P75" s="163" t="e">
        <f t="shared" si="11"/>
        <v>#DIV/0!</v>
      </c>
      <c r="Q75" s="163">
        <f>SUM(Q76:Q81)</f>
        <v>0</v>
      </c>
      <c r="R75" s="163">
        <f>SUM(R76:R81)</f>
        <v>0</v>
      </c>
      <c r="S75" s="163" t="e">
        <f t="shared" si="8"/>
        <v>#DIV/0!</v>
      </c>
      <c r="T75" s="163">
        <f>SUM(T76:T81)</f>
        <v>0</v>
      </c>
      <c r="U75" s="163">
        <f>SUM(U76:U81)</f>
        <v>0</v>
      </c>
      <c r="V75" s="163" t="e">
        <f t="shared" si="9"/>
        <v>#DIV/0!</v>
      </c>
      <c r="W75" s="163">
        <f>SUM(W76:W81)</f>
        <v>0</v>
      </c>
      <c r="X75" s="163">
        <f>SUM(X76:X81)</f>
        <v>0</v>
      </c>
      <c r="Y75" s="163" t="e">
        <f t="shared" si="10"/>
        <v>#DIV/0!</v>
      </c>
      <c r="Z75" s="163">
        <v>0</v>
      </c>
      <c r="AA75" s="163">
        <f t="shared" si="12"/>
        <v>0</v>
      </c>
      <c r="AB75" s="163">
        <f t="shared" si="13"/>
        <v>0</v>
      </c>
      <c r="AC75" s="177"/>
    </row>
    <row r="76" spans="1:29" ht="39" thickBot="1" x14ac:dyDescent="0.3">
      <c r="A76" s="31" t="s">
        <v>200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25" t="e">
        <f t="shared" si="11"/>
        <v>#DIV/0!</v>
      </c>
      <c r="Q76" s="5"/>
      <c r="R76" s="5"/>
      <c r="S76" s="25" t="e">
        <f t="shared" si="8"/>
        <v>#DIV/0!</v>
      </c>
      <c r="T76" s="5"/>
      <c r="U76" s="5"/>
      <c r="V76" s="25" t="e">
        <f t="shared" si="9"/>
        <v>#DIV/0!</v>
      </c>
      <c r="W76" s="5"/>
      <c r="X76" s="5"/>
      <c r="Y76" s="25" t="e">
        <f t="shared" si="10"/>
        <v>#DIV/0!</v>
      </c>
      <c r="Z76" s="15">
        <v>0</v>
      </c>
      <c r="AA76" s="15">
        <f t="shared" si="12"/>
        <v>0</v>
      </c>
      <c r="AB76" s="15">
        <f t="shared" si="13"/>
        <v>0</v>
      </c>
      <c r="AC76" s="177"/>
    </row>
    <row r="77" spans="1:29" ht="26.25" thickBot="1" x14ac:dyDescent="0.3">
      <c r="A77" s="31" t="s">
        <v>195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25" t="e">
        <f t="shared" si="11"/>
        <v>#DIV/0!</v>
      </c>
      <c r="Q77" s="5"/>
      <c r="R77" s="5"/>
      <c r="S77" s="25" t="e">
        <f t="shared" si="8"/>
        <v>#DIV/0!</v>
      </c>
      <c r="T77" s="5"/>
      <c r="U77" s="5"/>
      <c r="V77" s="25" t="e">
        <f t="shared" si="9"/>
        <v>#DIV/0!</v>
      </c>
      <c r="W77" s="5"/>
      <c r="X77" s="5"/>
      <c r="Y77" s="25" t="e">
        <f t="shared" si="10"/>
        <v>#DIV/0!</v>
      </c>
      <c r="Z77" s="15">
        <v>0</v>
      </c>
      <c r="AA77" s="15">
        <f t="shared" si="12"/>
        <v>0</v>
      </c>
      <c r="AB77" s="15">
        <f t="shared" si="13"/>
        <v>0</v>
      </c>
      <c r="AC77" s="177"/>
    </row>
    <row r="78" spans="1:29" ht="15.75" thickBot="1" x14ac:dyDescent="0.3">
      <c r="A78" s="31" t="s">
        <v>196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25" t="e">
        <f t="shared" si="11"/>
        <v>#DIV/0!</v>
      </c>
      <c r="Q78" s="5"/>
      <c r="R78" s="5"/>
      <c r="S78" s="25" t="e">
        <f t="shared" si="8"/>
        <v>#DIV/0!</v>
      </c>
      <c r="T78" s="5"/>
      <c r="U78" s="5"/>
      <c r="V78" s="25" t="e">
        <f t="shared" si="9"/>
        <v>#DIV/0!</v>
      </c>
      <c r="W78" s="5"/>
      <c r="X78" s="5"/>
      <c r="Y78" s="25" t="e">
        <f t="shared" si="10"/>
        <v>#DIV/0!</v>
      </c>
      <c r="Z78" s="15">
        <v>0</v>
      </c>
      <c r="AA78" s="15">
        <f t="shared" si="12"/>
        <v>0</v>
      </c>
      <c r="AB78" s="15">
        <f t="shared" si="13"/>
        <v>0</v>
      </c>
      <c r="AC78" s="177"/>
    </row>
    <row r="79" spans="1:29" ht="15.75" thickBot="1" x14ac:dyDescent="0.3">
      <c r="A79" s="31" t="s">
        <v>197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25" t="e">
        <f t="shared" si="11"/>
        <v>#DIV/0!</v>
      </c>
      <c r="Q79" s="5"/>
      <c r="R79" s="5"/>
      <c r="S79" s="25" t="e">
        <f t="shared" si="8"/>
        <v>#DIV/0!</v>
      </c>
      <c r="T79" s="5"/>
      <c r="U79" s="5"/>
      <c r="V79" s="25" t="e">
        <f t="shared" si="9"/>
        <v>#DIV/0!</v>
      </c>
      <c r="W79" s="5"/>
      <c r="X79" s="5"/>
      <c r="Y79" s="25" t="e">
        <f t="shared" si="10"/>
        <v>#DIV/0!</v>
      </c>
      <c r="Z79" s="15">
        <v>0</v>
      </c>
      <c r="AA79" s="15">
        <f t="shared" si="12"/>
        <v>0</v>
      </c>
      <c r="AB79" s="15">
        <f t="shared" si="13"/>
        <v>0</v>
      </c>
      <c r="AC79" s="177"/>
    </row>
    <row r="80" spans="1:29" ht="15.75" thickBot="1" x14ac:dyDescent="0.3">
      <c r="A80" s="31" t="s">
        <v>198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25" t="e">
        <f t="shared" si="11"/>
        <v>#DIV/0!</v>
      </c>
      <c r="Q80" s="5"/>
      <c r="R80" s="5"/>
      <c r="S80" s="25" t="e">
        <f t="shared" si="8"/>
        <v>#DIV/0!</v>
      </c>
      <c r="T80" s="5"/>
      <c r="U80" s="5"/>
      <c r="V80" s="25" t="e">
        <f t="shared" si="9"/>
        <v>#DIV/0!</v>
      </c>
      <c r="W80" s="5"/>
      <c r="X80" s="5"/>
      <c r="Y80" s="25" t="e">
        <f t="shared" si="10"/>
        <v>#DIV/0!</v>
      </c>
      <c r="Z80" s="15">
        <v>0</v>
      </c>
      <c r="AA80" s="15">
        <f t="shared" si="12"/>
        <v>0</v>
      </c>
      <c r="AB80" s="15">
        <f t="shared" si="13"/>
        <v>0</v>
      </c>
      <c r="AC80" s="177"/>
    </row>
    <row r="81" spans="1:29" ht="15.75" thickBot="1" x14ac:dyDescent="0.3">
      <c r="A81" s="31" t="s">
        <v>199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25" t="e">
        <f t="shared" si="11"/>
        <v>#DIV/0!</v>
      </c>
      <c r="Q81" s="5"/>
      <c r="R81" s="5"/>
      <c r="S81" s="25" t="e">
        <f t="shared" si="8"/>
        <v>#DIV/0!</v>
      </c>
      <c r="T81" s="5"/>
      <c r="U81" s="5"/>
      <c r="V81" s="25" t="e">
        <f t="shared" si="9"/>
        <v>#DIV/0!</v>
      </c>
      <c r="W81" s="5"/>
      <c r="X81" s="5"/>
      <c r="Y81" s="25" t="e">
        <f t="shared" si="10"/>
        <v>#DIV/0!</v>
      </c>
      <c r="Z81" s="15">
        <v>0</v>
      </c>
      <c r="AA81" s="15">
        <f t="shared" si="12"/>
        <v>0</v>
      </c>
      <c r="AB81" s="15">
        <f t="shared" si="13"/>
        <v>0</v>
      </c>
      <c r="AC81" s="177"/>
    </row>
    <row r="82" spans="1:29" ht="39" thickBot="1" x14ac:dyDescent="0.3">
      <c r="A82" s="162" t="s">
        <v>635</v>
      </c>
      <c r="B82" s="162">
        <v>0</v>
      </c>
      <c r="C82" s="162">
        <v>0</v>
      </c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0</v>
      </c>
      <c r="P82" s="163" t="e">
        <f t="shared" si="11"/>
        <v>#DIV/0!</v>
      </c>
      <c r="Q82" s="163">
        <f>SUM(Q83:Q84)</f>
        <v>0</v>
      </c>
      <c r="R82" s="163">
        <f>SUM(R83:R84)</f>
        <v>0</v>
      </c>
      <c r="S82" s="163" t="e">
        <f t="shared" si="8"/>
        <v>#DIV/0!</v>
      </c>
      <c r="T82" s="163">
        <f>SUM(T83:T84)</f>
        <v>0</v>
      </c>
      <c r="U82" s="163">
        <f>SUM(U83:U84)</f>
        <v>0</v>
      </c>
      <c r="V82" s="163" t="e">
        <f t="shared" si="9"/>
        <v>#DIV/0!</v>
      </c>
      <c r="W82" s="163">
        <f>SUM(W83:W84)</f>
        <v>0</v>
      </c>
      <c r="X82" s="163">
        <f>SUM(X83:X84)</f>
        <v>0</v>
      </c>
      <c r="Y82" s="163" t="e">
        <f t="shared" si="10"/>
        <v>#DIV/0!</v>
      </c>
      <c r="Z82" s="163">
        <v>0</v>
      </c>
      <c r="AA82" s="163">
        <f t="shared" si="12"/>
        <v>0</v>
      </c>
      <c r="AB82" s="163">
        <f t="shared" si="13"/>
        <v>0</v>
      </c>
      <c r="AC82" s="177"/>
    </row>
    <row r="83" spans="1:29" ht="15.75" thickBot="1" x14ac:dyDescent="0.3">
      <c r="A83" s="31" t="s">
        <v>636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25" t="e">
        <f t="shared" si="11"/>
        <v>#DIV/0!</v>
      </c>
      <c r="Q83" s="5"/>
      <c r="R83" s="5"/>
      <c r="S83" s="25" t="e">
        <f t="shared" si="8"/>
        <v>#DIV/0!</v>
      </c>
      <c r="T83" s="5"/>
      <c r="U83" s="5"/>
      <c r="V83" s="25" t="e">
        <f t="shared" si="9"/>
        <v>#DIV/0!</v>
      </c>
      <c r="W83" s="5"/>
      <c r="X83" s="5"/>
      <c r="Y83" s="25" t="e">
        <f t="shared" si="10"/>
        <v>#DIV/0!</v>
      </c>
      <c r="Z83" s="15">
        <v>0</v>
      </c>
      <c r="AA83" s="15">
        <f t="shared" si="12"/>
        <v>0</v>
      </c>
      <c r="AB83" s="15">
        <f t="shared" si="13"/>
        <v>0</v>
      </c>
      <c r="AC83" s="177"/>
    </row>
    <row r="84" spans="1:29" ht="15.75" thickBot="1" x14ac:dyDescent="0.3">
      <c r="A84" s="31" t="s">
        <v>202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25" t="e">
        <f t="shared" si="11"/>
        <v>#DIV/0!</v>
      </c>
      <c r="Q84" s="5"/>
      <c r="R84" s="5"/>
      <c r="S84" s="25" t="e">
        <f t="shared" si="8"/>
        <v>#DIV/0!</v>
      </c>
      <c r="T84" s="5"/>
      <c r="U84" s="5"/>
      <c r="V84" s="25" t="e">
        <f t="shared" si="9"/>
        <v>#DIV/0!</v>
      </c>
      <c r="W84" s="5"/>
      <c r="X84" s="5"/>
      <c r="Y84" s="25" t="e">
        <f t="shared" si="10"/>
        <v>#DIV/0!</v>
      </c>
      <c r="Z84" s="15">
        <v>0</v>
      </c>
      <c r="AA84" s="15">
        <f t="shared" si="12"/>
        <v>0</v>
      </c>
      <c r="AB84" s="15">
        <f t="shared" si="13"/>
        <v>0</v>
      </c>
      <c r="AC84" s="177"/>
    </row>
    <row r="85" spans="1:29" s="177" customFormat="1" ht="26.25" thickBot="1" x14ac:dyDescent="0.3">
      <c r="A85" s="31" t="s">
        <v>637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25"/>
      <c r="Q85" s="5"/>
      <c r="R85" s="5"/>
      <c r="S85" s="25"/>
      <c r="T85" s="5"/>
      <c r="U85" s="5"/>
      <c r="V85" s="25"/>
      <c r="W85" s="5"/>
      <c r="X85" s="5"/>
      <c r="Y85" s="25"/>
      <c r="Z85" s="15"/>
      <c r="AA85" s="15"/>
      <c r="AB85" s="15"/>
    </row>
    <row r="86" spans="1:29" ht="30" customHeight="1" thickBot="1" x14ac:dyDescent="0.3">
      <c r="A86" s="162" t="s">
        <v>204</v>
      </c>
      <c r="B86" s="162">
        <v>0</v>
      </c>
      <c r="C86" s="162">
        <v>0</v>
      </c>
      <c r="D86" s="162">
        <v>0</v>
      </c>
      <c r="E86" s="162">
        <v>0</v>
      </c>
      <c r="F86" s="162">
        <v>0</v>
      </c>
      <c r="G86" s="162">
        <v>0</v>
      </c>
      <c r="H86" s="162">
        <v>0</v>
      </c>
      <c r="I86" s="162">
        <v>0</v>
      </c>
      <c r="J86" s="162">
        <v>0</v>
      </c>
      <c r="K86" s="162">
        <v>0</v>
      </c>
      <c r="L86" s="162">
        <v>0</v>
      </c>
      <c r="M86" s="162">
        <v>0</v>
      </c>
      <c r="N86" s="162">
        <v>0</v>
      </c>
      <c r="O86" s="162">
        <v>0</v>
      </c>
      <c r="P86" s="163" t="e">
        <f t="shared" si="11"/>
        <v>#DIV/0!</v>
      </c>
      <c r="Q86" s="163">
        <f>SUM(Q87:Q90)</f>
        <v>0</v>
      </c>
      <c r="R86" s="163">
        <f>SUM(R87:R90)</f>
        <v>0</v>
      </c>
      <c r="S86" s="163" t="e">
        <f t="shared" si="8"/>
        <v>#DIV/0!</v>
      </c>
      <c r="T86" s="163">
        <f>SUM(T87:T90)</f>
        <v>0</v>
      </c>
      <c r="U86" s="163">
        <f>SUM(U87:U90)</f>
        <v>0</v>
      </c>
      <c r="V86" s="163" t="e">
        <f t="shared" si="9"/>
        <v>#DIV/0!</v>
      </c>
      <c r="W86" s="163">
        <f>SUM(W87:W90)</f>
        <v>0</v>
      </c>
      <c r="X86" s="163">
        <f>SUM(X87:X90)</f>
        <v>0</v>
      </c>
      <c r="Y86" s="163" t="e">
        <f t="shared" si="10"/>
        <v>#DIV/0!</v>
      </c>
      <c r="Z86" s="163">
        <v>0</v>
      </c>
      <c r="AA86" s="163">
        <f t="shared" si="12"/>
        <v>0</v>
      </c>
      <c r="AB86" s="163">
        <f t="shared" si="13"/>
        <v>0</v>
      </c>
      <c r="AC86" s="177"/>
    </row>
    <row r="87" spans="1:29" ht="39" thickBot="1" x14ac:dyDescent="0.3">
      <c r="A87" s="31" t="s">
        <v>205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25" t="e">
        <f t="shared" si="11"/>
        <v>#DIV/0!</v>
      </c>
      <c r="Q87" s="5"/>
      <c r="R87" s="5"/>
      <c r="S87" s="25" t="e">
        <f t="shared" si="8"/>
        <v>#DIV/0!</v>
      </c>
      <c r="T87" s="5"/>
      <c r="U87" s="5"/>
      <c r="V87" s="25" t="e">
        <f t="shared" si="9"/>
        <v>#DIV/0!</v>
      </c>
      <c r="W87" s="5"/>
      <c r="X87" s="5"/>
      <c r="Y87" s="25" t="e">
        <f t="shared" si="10"/>
        <v>#DIV/0!</v>
      </c>
      <c r="Z87" s="15">
        <v>0</v>
      </c>
      <c r="AA87" s="15">
        <f t="shared" si="12"/>
        <v>0</v>
      </c>
      <c r="AB87" s="15">
        <f t="shared" si="13"/>
        <v>0</v>
      </c>
      <c r="AC87" s="177"/>
    </row>
    <row r="88" spans="1:29" ht="52.5" customHeight="1" thickBot="1" x14ac:dyDescent="0.3">
      <c r="A88" s="31" t="s">
        <v>206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25" t="e">
        <f t="shared" si="11"/>
        <v>#DIV/0!</v>
      </c>
      <c r="Q88" s="5"/>
      <c r="R88" s="5"/>
      <c r="S88" s="25" t="e">
        <f t="shared" si="8"/>
        <v>#DIV/0!</v>
      </c>
      <c r="T88" s="5"/>
      <c r="U88" s="5"/>
      <c r="V88" s="25" t="e">
        <f t="shared" si="9"/>
        <v>#DIV/0!</v>
      </c>
      <c r="W88" s="5"/>
      <c r="X88" s="5"/>
      <c r="Y88" s="25" t="e">
        <f t="shared" si="10"/>
        <v>#DIV/0!</v>
      </c>
      <c r="Z88" s="15">
        <v>0</v>
      </c>
      <c r="AA88" s="15">
        <f t="shared" si="12"/>
        <v>0</v>
      </c>
      <c r="AB88" s="15">
        <f t="shared" si="13"/>
        <v>0</v>
      </c>
      <c r="AC88" s="177"/>
    </row>
    <row r="89" spans="1:29" ht="15.75" thickBot="1" x14ac:dyDescent="0.3">
      <c r="A89" s="162" t="s">
        <v>207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 t="e">
        <f t="shared" si="11"/>
        <v>#DIV/0!</v>
      </c>
      <c r="Q89" s="162"/>
      <c r="R89" s="162"/>
      <c r="S89" s="162" t="e">
        <f t="shared" si="8"/>
        <v>#DIV/0!</v>
      </c>
      <c r="T89" s="162"/>
      <c r="U89" s="162"/>
      <c r="V89" s="162" t="e">
        <f t="shared" si="9"/>
        <v>#DIV/0!</v>
      </c>
      <c r="W89" s="162"/>
      <c r="X89" s="162"/>
      <c r="Y89" s="162" t="e">
        <f t="shared" si="10"/>
        <v>#DIV/0!</v>
      </c>
      <c r="Z89" s="162">
        <v>0</v>
      </c>
      <c r="AA89" s="162">
        <f t="shared" si="12"/>
        <v>0</v>
      </c>
      <c r="AB89" s="162">
        <f t="shared" si="13"/>
        <v>0</v>
      </c>
      <c r="AC89" s="177"/>
    </row>
    <row r="90" spans="1:29" ht="26.25" thickBot="1" x14ac:dyDescent="0.3">
      <c r="A90" s="31" t="s">
        <v>208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25" t="e">
        <f t="shared" si="11"/>
        <v>#DIV/0!</v>
      </c>
      <c r="Q90" s="5"/>
      <c r="R90" s="5"/>
      <c r="S90" s="25" t="e">
        <f t="shared" si="8"/>
        <v>#DIV/0!</v>
      </c>
      <c r="T90" s="5"/>
      <c r="U90" s="5"/>
      <c r="V90" s="25" t="e">
        <f t="shared" si="9"/>
        <v>#DIV/0!</v>
      </c>
      <c r="W90" s="5"/>
      <c r="X90" s="5"/>
      <c r="Y90" s="25" t="e">
        <f t="shared" si="10"/>
        <v>#DIV/0!</v>
      </c>
      <c r="Z90" s="15">
        <v>0</v>
      </c>
      <c r="AA90" s="15">
        <f t="shared" si="12"/>
        <v>0</v>
      </c>
      <c r="AB90" s="15">
        <f t="shared" si="13"/>
        <v>0</v>
      </c>
      <c r="AC90" s="177"/>
    </row>
    <row r="91" spans="1:29" ht="15.75" thickBot="1" x14ac:dyDescent="0.3">
      <c r="A91" s="162" t="s">
        <v>668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77"/>
    </row>
    <row r="92" spans="1:29" ht="26.25" thickBot="1" x14ac:dyDescent="0.3">
      <c r="A92" s="31" t="s">
        <v>211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25" t="e">
        <f>I92/B92</f>
        <v>#DIV/0!</v>
      </c>
      <c r="Q92" s="25"/>
      <c r="R92" s="25"/>
      <c r="S92" s="25" t="e">
        <f>R92/Q92</f>
        <v>#DIV/0!</v>
      </c>
      <c r="T92" s="25"/>
      <c r="U92" s="25"/>
      <c r="V92" s="25" t="e">
        <f>U92/T92</f>
        <v>#DIV/0!</v>
      </c>
      <c r="W92" s="25"/>
      <c r="X92" s="25"/>
      <c r="Y92" s="25" t="e">
        <f>X92/W92</f>
        <v>#DIV/0!</v>
      </c>
      <c r="Z92" s="15">
        <v>0</v>
      </c>
      <c r="AA92" s="15">
        <f t="shared" si="12"/>
        <v>0</v>
      </c>
      <c r="AB92" s="15">
        <f t="shared" si="13"/>
        <v>0</v>
      </c>
      <c r="AC92" s="177"/>
    </row>
    <row r="93" spans="1:29" ht="15.75" thickBot="1" x14ac:dyDescent="0.3">
      <c r="A93" s="31" t="s">
        <v>209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25" t="e">
        <f t="shared" ref="P93:P95" si="14">I93/B93</f>
        <v>#DIV/0!</v>
      </c>
      <c r="Q93" s="25"/>
      <c r="R93" s="25"/>
      <c r="S93" s="25" t="e">
        <f>R93/Q93</f>
        <v>#DIV/0!</v>
      </c>
      <c r="T93" s="25"/>
      <c r="U93" s="25"/>
      <c r="V93" s="25" t="e">
        <f>U93/T93</f>
        <v>#DIV/0!</v>
      </c>
      <c r="W93" s="25"/>
      <c r="X93" s="25"/>
      <c r="Y93" s="25" t="e">
        <f>X93/W93</f>
        <v>#DIV/0!</v>
      </c>
      <c r="Z93" s="15">
        <v>0</v>
      </c>
      <c r="AA93" s="15">
        <f t="shared" si="12"/>
        <v>0</v>
      </c>
      <c r="AB93" s="15">
        <f t="shared" si="13"/>
        <v>0</v>
      </c>
      <c r="AC93" s="177"/>
    </row>
    <row r="94" spans="1:29" ht="15.75" thickBot="1" x14ac:dyDescent="0.3">
      <c r="A94" s="31" t="s">
        <v>210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25" t="e">
        <f t="shared" si="14"/>
        <v>#DIV/0!</v>
      </c>
      <c r="Q94" s="25"/>
      <c r="R94" s="25"/>
      <c r="S94" s="25" t="e">
        <f>R94/Q94</f>
        <v>#DIV/0!</v>
      </c>
      <c r="T94" s="25"/>
      <c r="U94" s="25"/>
      <c r="V94" s="25" t="e">
        <f>U94/T94</f>
        <v>#DIV/0!</v>
      </c>
      <c r="W94" s="25"/>
      <c r="X94" s="25"/>
      <c r="Y94" s="25" t="e">
        <f>X94/W94</f>
        <v>#DIV/0!</v>
      </c>
      <c r="Z94" s="15">
        <v>0</v>
      </c>
      <c r="AA94" s="15">
        <f t="shared" si="12"/>
        <v>0</v>
      </c>
      <c r="AB94" s="15">
        <f t="shared" si="13"/>
        <v>0</v>
      </c>
      <c r="AC94" s="177"/>
    </row>
    <row r="95" spans="1:29" ht="15.75" thickBot="1" x14ac:dyDescent="0.3">
      <c r="A95" s="165" t="s">
        <v>315</v>
      </c>
      <c r="B95" s="166">
        <f>SUM(B43,B46,B51,B70,B75,B82,B86,B89,B91)</f>
        <v>0</v>
      </c>
      <c r="C95" s="166">
        <f>SUM(C43,C46,C51,C70,C75,C82,C86,C89,C91)</f>
        <v>0</v>
      </c>
      <c r="D95" s="166">
        <f t="shared" ref="D95:O95" si="15">SUM(D43,D46,D51,D70,D75,D82,D86,D89,D91)</f>
        <v>0</v>
      </c>
      <c r="E95" s="166">
        <f t="shared" si="15"/>
        <v>0</v>
      </c>
      <c r="F95" s="166">
        <f t="shared" si="15"/>
        <v>0</v>
      </c>
      <c r="G95" s="166">
        <f t="shared" si="15"/>
        <v>0</v>
      </c>
      <c r="H95" s="166">
        <f t="shared" si="15"/>
        <v>0</v>
      </c>
      <c r="I95" s="166">
        <f t="shared" si="15"/>
        <v>0</v>
      </c>
      <c r="J95" s="166">
        <f t="shared" si="15"/>
        <v>0</v>
      </c>
      <c r="K95" s="166">
        <f t="shared" si="15"/>
        <v>0</v>
      </c>
      <c r="L95" s="166">
        <f t="shared" si="15"/>
        <v>0</v>
      </c>
      <c r="M95" s="166">
        <f t="shared" si="15"/>
        <v>0</v>
      </c>
      <c r="N95" s="166">
        <f t="shared" si="15"/>
        <v>0</v>
      </c>
      <c r="O95" s="166">
        <f t="shared" si="15"/>
        <v>0</v>
      </c>
      <c r="P95" s="167" t="e">
        <f t="shared" si="14"/>
        <v>#DIV/0!</v>
      </c>
      <c r="Q95" s="167"/>
      <c r="R95" s="167"/>
      <c r="S95" s="167" t="e">
        <f>R95/Q95</f>
        <v>#DIV/0!</v>
      </c>
      <c r="T95" s="167"/>
      <c r="U95" s="167"/>
      <c r="V95" s="167" t="e">
        <f>U95/T95</f>
        <v>#DIV/0!</v>
      </c>
      <c r="W95" s="167"/>
      <c r="X95" s="167"/>
      <c r="Y95" s="167" t="e">
        <f>X95/W95</f>
        <v>#DIV/0!</v>
      </c>
      <c r="Z95" s="168">
        <v>0</v>
      </c>
      <c r="AA95" s="168">
        <f t="shared" si="12"/>
        <v>0</v>
      </c>
      <c r="AB95" s="168">
        <f t="shared" si="13"/>
        <v>0</v>
      </c>
      <c r="AC95" s="177"/>
    </row>
    <row r="96" spans="1:29" ht="15.75" thickBot="1" x14ac:dyDescent="0.3">
      <c r="A96" s="30" t="s">
        <v>112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27" t="e">
        <f>I96/B96</f>
        <v>#DIV/0!</v>
      </c>
      <c r="Q96" s="45" t="e">
        <f>SUM(Q92:Q94+Q86+Q82+Q75+Q70+Q46+Q43+#REF!+Q39+Q37+Q33+Q31+Q27+Q15+Q23+Q6)</f>
        <v>#VALUE!</v>
      </c>
      <c r="R96" s="45" t="e">
        <f>SUM(R92:R94+R86+R82+R75+R70+R46+R43+#REF!+R39+R37+R33+R31+R27+R15+R23+R6)</f>
        <v>#VALUE!</v>
      </c>
      <c r="S96" s="161" t="e">
        <f>R96/Q96</f>
        <v>#VALUE!</v>
      </c>
      <c r="T96" s="45" t="e">
        <f>SUM(T92:T94+T86+T82+T75+T70+T46+T43+#REF!+T39+T37+T33+T31+T27+T15+T23+T6)</f>
        <v>#VALUE!</v>
      </c>
      <c r="U96" s="45" t="e">
        <f>SUM(U92:U94+U86+U82+U75+U70+U46+U43+#REF!+U39+U37+U33+U31+U27+U15+U23+U6)</f>
        <v>#VALUE!</v>
      </c>
      <c r="V96" s="161" t="e">
        <f>U96/T96</f>
        <v>#VALUE!</v>
      </c>
      <c r="W96" s="45" t="e">
        <f>SUM(W92:W94+W86+W82+W75+W70+W46+W43+#REF!+W39+W37+W33+W31+W27+W15+W23+W6)</f>
        <v>#VALUE!</v>
      </c>
      <c r="X96" s="45" t="e">
        <f>SUM(X92:X94+X86+X82+X75+X70+X46+X43+#REF!+X39+X37+X33+X31+X27+X15+X23+X6)</f>
        <v>#VALUE!</v>
      </c>
      <c r="Y96" s="161" t="e">
        <f>X96/W96</f>
        <v>#VALUE!</v>
      </c>
      <c r="Z96" s="45" t="e">
        <f>SUM(Z92:Z94+Z86+Z82+Z75+Z70+Z46+Z43+#REF!+Z39+Z37+Z33+Z31+Z27+Z15+Z23+Z6)</f>
        <v>#VALUE!</v>
      </c>
      <c r="AA96" s="45" t="e">
        <f>SUM(AA92:AA94+AA86+AA82+AA75+AA70+AA46+AA43+#REF!+AA39+AA37+AA33+AA31+AA27+AA15+AA23+AA6)</f>
        <v>#VALUE!</v>
      </c>
      <c r="AB96" s="45" t="e">
        <f>SUM(AB92:AB94+AB86+AB82+AB75+AB70+AB46+AB43+#REF!+AB39+AB37+AB33+AB31+AB27+AB15+AB23+AB6)</f>
        <v>#VALUE!</v>
      </c>
      <c r="AC96" s="177"/>
    </row>
    <row r="97" spans="29:29" x14ac:dyDescent="0.25">
      <c r="AC97" s="177"/>
    </row>
    <row r="98" spans="29:29" x14ac:dyDescent="0.25">
      <c r="AC98" s="177"/>
    </row>
    <row r="99" spans="29:29" x14ac:dyDescent="0.25">
      <c r="AC99" s="177"/>
    </row>
    <row r="100" spans="29:29" x14ac:dyDescent="0.25">
      <c r="AC100" s="177"/>
    </row>
    <row r="101" spans="29:29" x14ac:dyDescent="0.25">
      <c r="AC101" s="177"/>
    </row>
    <row r="102" spans="29:29" x14ac:dyDescent="0.25">
      <c r="AC102" s="177"/>
    </row>
    <row r="103" spans="29:29" x14ac:dyDescent="0.25">
      <c r="AC103" s="177"/>
    </row>
    <row r="104" spans="29:29" x14ac:dyDescent="0.25">
      <c r="AC104" s="177"/>
    </row>
    <row r="105" spans="29:29" x14ac:dyDescent="0.25">
      <c r="AC105" s="177"/>
    </row>
    <row r="106" spans="29:29" x14ac:dyDescent="0.25">
      <c r="AC106" s="177"/>
    </row>
    <row r="107" spans="29:29" x14ac:dyDescent="0.25">
      <c r="AC107" s="177"/>
    </row>
    <row r="108" spans="29:29" x14ac:dyDescent="0.25">
      <c r="AC108" s="177"/>
    </row>
    <row r="109" spans="29:29" x14ac:dyDescent="0.25">
      <c r="AC109" s="177"/>
    </row>
    <row r="110" spans="29:29" x14ac:dyDescent="0.25">
      <c r="AC110" s="177"/>
    </row>
    <row r="111" spans="29:29" x14ac:dyDescent="0.25">
      <c r="AC111" s="177"/>
    </row>
    <row r="112" spans="29:29" x14ac:dyDescent="0.25">
      <c r="AC112" s="177"/>
    </row>
    <row r="113" spans="29:29" x14ac:dyDescent="0.25">
      <c r="AC113" s="177"/>
    </row>
    <row r="114" spans="29:29" x14ac:dyDescent="0.25">
      <c r="AC114" s="177"/>
    </row>
    <row r="115" spans="29:29" x14ac:dyDescent="0.25">
      <c r="AC115" s="177"/>
    </row>
    <row r="116" spans="29:29" x14ac:dyDescent="0.25">
      <c r="AC116" s="177"/>
    </row>
    <row r="117" spans="29:29" x14ac:dyDescent="0.25">
      <c r="AC117" s="177"/>
    </row>
    <row r="118" spans="29:29" x14ac:dyDescent="0.25">
      <c r="AC118" s="177"/>
    </row>
    <row r="119" spans="29:29" x14ac:dyDescent="0.25">
      <c r="AC119" s="177"/>
    </row>
    <row r="120" spans="29:29" x14ac:dyDescent="0.25">
      <c r="AC120" s="177"/>
    </row>
    <row r="121" spans="29:29" x14ac:dyDescent="0.25">
      <c r="AC121" s="177"/>
    </row>
    <row r="122" spans="29:29" x14ac:dyDescent="0.25">
      <c r="AC122" s="177"/>
    </row>
    <row r="123" spans="29:29" x14ac:dyDescent="0.25">
      <c r="AC123" s="177"/>
    </row>
    <row r="124" spans="29:29" x14ac:dyDescent="0.25">
      <c r="AC124" s="177"/>
    </row>
    <row r="125" spans="29:29" x14ac:dyDescent="0.25">
      <c r="AC125" s="177"/>
    </row>
    <row r="126" spans="29:29" x14ac:dyDescent="0.25">
      <c r="AC126" s="177"/>
    </row>
    <row r="127" spans="29:29" x14ac:dyDescent="0.25">
      <c r="AC127" s="177"/>
    </row>
    <row r="128" spans="29:29" x14ac:dyDescent="0.25">
      <c r="AC128" s="177"/>
    </row>
    <row r="129" spans="29:29" x14ac:dyDescent="0.25">
      <c r="AC129" s="177"/>
    </row>
    <row r="130" spans="29:29" x14ac:dyDescent="0.25">
      <c r="AC130" s="177"/>
    </row>
    <row r="131" spans="29:29" x14ac:dyDescent="0.25">
      <c r="AC131" s="177"/>
    </row>
    <row r="132" spans="29:29" x14ac:dyDescent="0.25">
      <c r="AC132" s="177"/>
    </row>
    <row r="133" spans="29:29" x14ac:dyDescent="0.25">
      <c r="AC133" s="177"/>
    </row>
    <row r="134" spans="29:29" x14ac:dyDescent="0.25">
      <c r="AC134" s="177"/>
    </row>
    <row r="135" spans="29:29" x14ac:dyDescent="0.25">
      <c r="AC135" s="177"/>
    </row>
    <row r="136" spans="29:29" x14ac:dyDescent="0.25">
      <c r="AC136" s="177"/>
    </row>
    <row r="137" spans="29:29" x14ac:dyDescent="0.25">
      <c r="AC137" s="177"/>
    </row>
    <row r="138" spans="29:29" x14ac:dyDescent="0.25">
      <c r="AC138" s="177"/>
    </row>
    <row r="139" spans="29:29" x14ac:dyDescent="0.25">
      <c r="AC139" s="177"/>
    </row>
    <row r="140" spans="29:29" x14ac:dyDescent="0.25">
      <c r="AC140" s="177"/>
    </row>
    <row r="141" spans="29:29" x14ac:dyDescent="0.25">
      <c r="AC141" s="177"/>
    </row>
    <row r="142" spans="29:29" x14ac:dyDescent="0.25">
      <c r="AC142" s="177"/>
    </row>
    <row r="143" spans="29:29" x14ac:dyDescent="0.25">
      <c r="AC143" s="177"/>
    </row>
    <row r="144" spans="29:29" x14ac:dyDescent="0.25">
      <c r="AC144" s="177"/>
    </row>
    <row r="145" spans="29:29" x14ac:dyDescent="0.25">
      <c r="AC145" s="177"/>
    </row>
    <row r="146" spans="29:29" x14ac:dyDescent="0.25">
      <c r="AC146" s="177"/>
    </row>
    <row r="147" spans="29:29" x14ac:dyDescent="0.25">
      <c r="AC147" s="177"/>
    </row>
    <row r="148" spans="29:29" x14ac:dyDescent="0.25">
      <c r="AC148" s="177"/>
    </row>
    <row r="149" spans="29:29" x14ac:dyDescent="0.25">
      <c r="AC149" s="177"/>
    </row>
    <row r="150" spans="29:29" x14ac:dyDescent="0.25">
      <c r="AC150" s="177"/>
    </row>
    <row r="151" spans="29:29" x14ac:dyDescent="0.25">
      <c r="AC151" s="177"/>
    </row>
    <row r="152" spans="29:29" x14ac:dyDescent="0.25">
      <c r="AC152" s="177"/>
    </row>
    <row r="153" spans="29:29" x14ac:dyDescent="0.25">
      <c r="AC153" s="177"/>
    </row>
    <row r="154" spans="29:29" x14ac:dyDescent="0.25">
      <c r="AC154" s="177"/>
    </row>
    <row r="155" spans="29:29" x14ac:dyDescent="0.25">
      <c r="AC155" s="177"/>
    </row>
    <row r="156" spans="29:29" x14ac:dyDescent="0.25">
      <c r="AC156" s="177"/>
    </row>
    <row r="157" spans="29:29" x14ac:dyDescent="0.25">
      <c r="AC157" s="177"/>
    </row>
    <row r="158" spans="29:29" x14ac:dyDescent="0.25">
      <c r="AC158" s="177"/>
    </row>
    <row r="159" spans="29:29" x14ac:dyDescent="0.25">
      <c r="AC159" s="177"/>
    </row>
    <row r="160" spans="29:29" x14ac:dyDescent="0.25">
      <c r="AC160" s="177"/>
    </row>
    <row r="161" spans="29:29" x14ac:dyDescent="0.25">
      <c r="AC161" s="177"/>
    </row>
    <row r="162" spans="29:29" x14ac:dyDescent="0.25">
      <c r="AC162" s="177"/>
    </row>
    <row r="163" spans="29:29" x14ac:dyDescent="0.25">
      <c r="AC163" s="177"/>
    </row>
    <row r="164" spans="29:29" x14ac:dyDescent="0.25">
      <c r="AC164" s="177"/>
    </row>
    <row r="165" spans="29:29" x14ac:dyDescent="0.25">
      <c r="AC165" s="177"/>
    </row>
    <row r="166" spans="29:29" x14ac:dyDescent="0.25">
      <c r="AC166" s="177"/>
    </row>
    <row r="167" spans="29:29" x14ac:dyDescent="0.25">
      <c r="AC167" s="177"/>
    </row>
    <row r="168" spans="29:29" x14ac:dyDescent="0.25">
      <c r="AC168" s="177"/>
    </row>
    <row r="169" spans="29:29" x14ac:dyDescent="0.25">
      <c r="AC169" s="177"/>
    </row>
    <row r="170" spans="29:29" x14ac:dyDescent="0.25">
      <c r="AC170" s="177"/>
    </row>
    <row r="171" spans="29:29" x14ac:dyDescent="0.25">
      <c r="AC171" s="177"/>
    </row>
    <row r="172" spans="29:29" x14ac:dyDescent="0.25">
      <c r="AC172" s="177"/>
    </row>
    <row r="173" spans="29:29" x14ac:dyDescent="0.25">
      <c r="AC173" s="177"/>
    </row>
    <row r="174" spans="29:29" x14ac:dyDescent="0.25">
      <c r="AC174" s="177"/>
    </row>
    <row r="175" spans="29:29" x14ac:dyDescent="0.25">
      <c r="AC175" s="177"/>
    </row>
    <row r="176" spans="29:29" x14ac:dyDescent="0.25">
      <c r="AC176" s="177"/>
    </row>
    <row r="177" spans="29:29" x14ac:dyDescent="0.25">
      <c r="AC177" s="177"/>
    </row>
    <row r="178" spans="29:29" x14ac:dyDescent="0.25">
      <c r="AC178" s="177"/>
    </row>
    <row r="179" spans="29:29" x14ac:dyDescent="0.25">
      <c r="AC179" s="177"/>
    </row>
    <row r="180" spans="29:29" x14ac:dyDescent="0.25">
      <c r="AC180" s="177"/>
    </row>
    <row r="181" spans="29:29" x14ac:dyDescent="0.25">
      <c r="AC181" s="177"/>
    </row>
    <row r="182" spans="29:29" x14ac:dyDescent="0.25">
      <c r="AC182" s="177"/>
    </row>
    <row r="183" spans="29:29" x14ac:dyDescent="0.25">
      <c r="AC183" s="177"/>
    </row>
    <row r="184" spans="29:29" x14ac:dyDescent="0.25">
      <c r="AC184" s="177"/>
    </row>
    <row r="185" spans="29:29" x14ac:dyDescent="0.25">
      <c r="AC185" s="177"/>
    </row>
    <row r="186" spans="29:29" x14ac:dyDescent="0.25">
      <c r="AC186" s="177"/>
    </row>
    <row r="187" spans="29:29" x14ac:dyDescent="0.25">
      <c r="AC187" s="177"/>
    </row>
    <row r="188" spans="29:29" x14ac:dyDescent="0.25">
      <c r="AC188" s="177"/>
    </row>
    <row r="189" spans="29:29" x14ac:dyDescent="0.25">
      <c r="AC189" s="177"/>
    </row>
    <row r="190" spans="29:29" x14ac:dyDescent="0.25">
      <c r="AC190" s="177"/>
    </row>
    <row r="191" spans="29:29" x14ac:dyDescent="0.25">
      <c r="AC191" s="177"/>
    </row>
    <row r="192" spans="29:29" x14ac:dyDescent="0.25">
      <c r="AC192" s="177"/>
    </row>
    <row r="193" spans="29:29" x14ac:dyDescent="0.25">
      <c r="AC193" s="177"/>
    </row>
    <row r="194" spans="29:29" x14ac:dyDescent="0.25">
      <c r="AC194" s="177"/>
    </row>
    <row r="195" spans="29:29" x14ac:dyDescent="0.25">
      <c r="AC195" s="177"/>
    </row>
    <row r="196" spans="29:29" x14ac:dyDescent="0.25">
      <c r="AC196" s="177"/>
    </row>
    <row r="197" spans="29:29" x14ac:dyDescent="0.25">
      <c r="AC197" s="177"/>
    </row>
    <row r="198" spans="29:29" x14ac:dyDescent="0.25">
      <c r="AC198" s="177"/>
    </row>
    <row r="199" spans="29:29" x14ac:dyDescent="0.25">
      <c r="AC199" s="177"/>
    </row>
    <row r="200" spans="29:29" x14ac:dyDescent="0.25">
      <c r="AC200" s="177"/>
    </row>
    <row r="201" spans="29:29" x14ac:dyDescent="0.25">
      <c r="AC201" s="177"/>
    </row>
    <row r="202" spans="29:29" x14ac:dyDescent="0.25">
      <c r="AC202" s="177"/>
    </row>
    <row r="203" spans="29:29" x14ac:dyDescent="0.25">
      <c r="AC203" s="177"/>
    </row>
    <row r="204" spans="29:29" x14ac:dyDescent="0.25">
      <c r="AC204" s="177"/>
    </row>
    <row r="205" spans="29:29" x14ac:dyDescent="0.25">
      <c r="AC205" s="177"/>
    </row>
    <row r="206" spans="29:29" x14ac:dyDescent="0.25">
      <c r="AC206" s="177"/>
    </row>
    <row r="207" spans="29:29" x14ac:dyDescent="0.25">
      <c r="AC207" s="177"/>
    </row>
    <row r="208" spans="29:29" x14ac:dyDescent="0.25">
      <c r="AC208" s="177"/>
    </row>
    <row r="209" spans="29:29" x14ac:dyDescent="0.25">
      <c r="AC209" s="177"/>
    </row>
    <row r="210" spans="29:29" x14ac:dyDescent="0.25">
      <c r="AC210" s="177"/>
    </row>
    <row r="211" spans="29:29" x14ac:dyDescent="0.25">
      <c r="AC211" s="177"/>
    </row>
    <row r="212" spans="29:29" x14ac:dyDescent="0.25">
      <c r="AC212" s="177"/>
    </row>
    <row r="213" spans="29:29" x14ac:dyDescent="0.25">
      <c r="AC213" s="177"/>
    </row>
    <row r="214" spans="29:29" x14ac:dyDescent="0.25">
      <c r="AC214" s="177"/>
    </row>
    <row r="215" spans="29:29" x14ac:dyDescent="0.25">
      <c r="AC215" s="177"/>
    </row>
    <row r="216" spans="29:29" x14ac:dyDescent="0.25">
      <c r="AC216" s="177"/>
    </row>
    <row r="217" spans="29:29" x14ac:dyDescent="0.25">
      <c r="AC217" s="177"/>
    </row>
    <row r="218" spans="29:29" x14ac:dyDescent="0.25">
      <c r="AC218" s="177"/>
    </row>
    <row r="219" spans="29:29" x14ac:dyDescent="0.25">
      <c r="AC219" s="177"/>
    </row>
    <row r="220" spans="29:29" x14ac:dyDescent="0.25">
      <c r="AC220" s="177"/>
    </row>
    <row r="221" spans="29:29" x14ac:dyDescent="0.25">
      <c r="AC221" s="177"/>
    </row>
    <row r="222" spans="29:29" x14ac:dyDescent="0.25">
      <c r="AC222" s="177"/>
    </row>
    <row r="223" spans="29:29" x14ac:dyDescent="0.25">
      <c r="AC223" s="177"/>
    </row>
    <row r="224" spans="29:29" x14ac:dyDescent="0.25">
      <c r="AC224" s="177"/>
    </row>
    <row r="225" spans="29:29" x14ac:dyDescent="0.25">
      <c r="AC225" s="177"/>
    </row>
    <row r="226" spans="29:29" x14ac:dyDescent="0.25">
      <c r="AC226" s="177"/>
    </row>
    <row r="227" spans="29:29" x14ac:dyDescent="0.25">
      <c r="AC227" s="177"/>
    </row>
    <row r="228" spans="29:29" x14ac:dyDescent="0.25">
      <c r="AC228" s="177"/>
    </row>
    <row r="229" spans="29:29" x14ac:dyDescent="0.25">
      <c r="AC229" s="177"/>
    </row>
    <row r="230" spans="29:29" x14ac:dyDescent="0.25">
      <c r="AC230" s="177"/>
    </row>
    <row r="231" spans="29:29" x14ac:dyDescent="0.25">
      <c r="AC231" s="177"/>
    </row>
    <row r="232" spans="29:29" x14ac:dyDescent="0.25">
      <c r="AC232" s="177"/>
    </row>
    <row r="233" spans="29:29" x14ac:dyDescent="0.25">
      <c r="AC233" s="177"/>
    </row>
    <row r="234" spans="29:29" x14ac:dyDescent="0.25">
      <c r="AC234" s="177"/>
    </row>
    <row r="235" spans="29:29" x14ac:dyDescent="0.25">
      <c r="AC235" s="177"/>
    </row>
    <row r="236" spans="29:29" x14ac:dyDescent="0.25">
      <c r="AC236" s="177"/>
    </row>
    <row r="237" spans="29:29" x14ac:dyDescent="0.25">
      <c r="AC237" s="177"/>
    </row>
    <row r="238" spans="29:29" x14ac:dyDescent="0.25">
      <c r="AC238" s="177"/>
    </row>
    <row r="239" spans="29:29" x14ac:dyDescent="0.25">
      <c r="AC239" s="177"/>
    </row>
    <row r="240" spans="29:29" x14ac:dyDescent="0.25">
      <c r="AC240" s="177"/>
    </row>
    <row r="241" spans="29:29" x14ac:dyDescent="0.25">
      <c r="AC241" s="177"/>
    </row>
    <row r="242" spans="29:29" x14ac:dyDescent="0.25">
      <c r="AC242" s="177"/>
    </row>
    <row r="243" spans="29:29" x14ac:dyDescent="0.25">
      <c r="AC243" s="177"/>
    </row>
    <row r="244" spans="29:29" x14ac:dyDescent="0.25">
      <c r="AC244" s="177"/>
    </row>
    <row r="245" spans="29:29" x14ac:dyDescent="0.25">
      <c r="AC245" s="177"/>
    </row>
    <row r="246" spans="29:29" x14ac:dyDescent="0.25">
      <c r="AC246" s="177"/>
    </row>
    <row r="247" spans="29:29" x14ac:dyDescent="0.25">
      <c r="AC247" s="177"/>
    </row>
    <row r="248" spans="29:29" x14ac:dyDescent="0.25">
      <c r="AC248" s="177"/>
    </row>
    <row r="249" spans="29:29" x14ac:dyDescent="0.25">
      <c r="AC249" s="177"/>
    </row>
    <row r="250" spans="29:29" x14ac:dyDescent="0.25">
      <c r="AC250" s="177"/>
    </row>
    <row r="251" spans="29:29" x14ac:dyDescent="0.25">
      <c r="AC251" s="177"/>
    </row>
    <row r="252" spans="29:29" x14ac:dyDescent="0.25">
      <c r="AC252" s="177"/>
    </row>
    <row r="253" spans="29:29" x14ac:dyDescent="0.25">
      <c r="AC253" s="177"/>
    </row>
    <row r="254" spans="29:29" x14ac:dyDescent="0.25">
      <c r="AC254" s="177"/>
    </row>
    <row r="255" spans="29:29" x14ac:dyDescent="0.25">
      <c r="AC255" s="177"/>
    </row>
    <row r="256" spans="29:29" x14ac:dyDescent="0.25">
      <c r="AC256" s="177"/>
    </row>
    <row r="257" spans="29:29" x14ac:dyDescent="0.25">
      <c r="AC257" s="177"/>
    </row>
    <row r="258" spans="29:29" x14ac:dyDescent="0.25">
      <c r="AC258" s="177"/>
    </row>
    <row r="259" spans="29:29" x14ac:dyDescent="0.25">
      <c r="AC259" s="177"/>
    </row>
    <row r="260" spans="29:29" x14ac:dyDescent="0.25">
      <c r="AC260" s="177"/>
    </row>
    <row r="261" spans="29:29" x14ac:dyDescent="0.25">
      <c r="AC261" s="177"/>
    </row>
    <row r="262" spans="29:29" x14ac:dyDescent="0.25">
      <c r="AC262" s="177"/>
    </row>
    <row r="263" spans="29:29" x14ac:dyDescent="0.25">
      <c r="AC263" s="177"/>
    </row>
    <row r="264" spans="29:29" x14ac:dyDescent="0.25">
      <c r="AC264" s="177"/>
    </row>
    <row r="265" spans="29:29" x14ac:dyDescent="0.25">
      <c r="AC265" s="177"/>
    </row>
    <row r="266" spans="29:29" x14ac:dyDescent="0.25">
      <c r="AC266" s="177"/>
    </row>
    <row r="267" spans="29:29" x14ac:dyDescent="0.25">
      <c r="AC267" s="177"/>
    </row>
    <row r="268" spans="29:29" x14ac:dyDescent="0.25">
      <c r="AC268" s="177"/>
    </row>
    <row r="269" spans="29:29" x14ac:dyDescent="0.25">
      <c r="AC269" s="177"/>
    </row>
    <row r="270" spans="29:29" x14ac:dyDescent="0.25">
      <c r="AC270" s="177"/>
    </row>
    <row r="271" spans="29:29" x14ac:dyDescent="0.25">
      <c r="AC271" s="177"/>
    </row>
    <row r="272" spans="29:29" x14ac:dyDescent="0.25">
      <c r="AC272" s="177"/>
    </row>
    <row r="273" spans="29:29" x14ac:dyDescent="0.25">
      <c r="AC273" s="177"/>
    </row>
    <row r="274" spans="29:29" x14ac:dyDescent="0.25">
      <c r="AC274" s="177"/>
    </row>
    <row r="275" spans="29:29" x14ac:dyDescent="0.25">
      <c r="AC275" s="177"/>
    </row>
    <row r="276" spans="29:29" x14ac:dyDescent="0.25">
      <c r="AC276" s="177"/>
    </row>
    <row r="277" spans="29:29" x14ac:dyDescent="0.25">
      <c r="AC277" s="177"/>
    </row>
    <row r="278" spans="29:29" x14ac:dyDescent="0.25">
      <c r="AC278" s="177"/>
    </row>
    <row r="279" spans="29:29" x14ac:dyDescent="0.25">
      <c r="AC279" s="177"/>
    </row>
    <row r="280" spans="29:29" x14ac:dyDescent="0.25">
      <c r="AC280" s="177"/>
    </row>
    <row r="281" spans="29:29" x14ac:dyDescent="0.25">
      <c r="AC281" s="177"/>
    </row>
    <row r="282" spans="29:29" x14ac:dyDescent="0.25">
      <c r="AC282" s="177"/>
    </row>
    <row r="283" spans="29:29" x14ac:dyDescent="0.25">
      <c r="AC283" s="177"/>
    </row>
    <row r="284" spans="29:29" x14ac:dyDescent="0.25">
      <c r="AC284" s="177"/>
    </row>
    <row r="285" spans="29:29" x14ac:dyDescent="0.25">
      <c r="AC285" s="177"/>
    </row>
    <row r="286" spans="29:29" x14ac:dyDescent="0.25">
      <c r="AC286" s="177"/>
    </row>
    <row r="287" spans="29:29" x14ac:dyDescent="0.25">
      <c r="AC287" s="177"/>
    </row>
    <row r="288" spans="29:29" x14ac:dyDescent="0.25">
      <c r="AC288" s="177"/>
    </row>
    <row r="289" spans="29:29" x14ac:dyDescent="0.25">
      <c r="AC289" s="177"/>
    </row>
    <row r="290" spans="29:29" x14ac:dyDescent="0.25">
      <c r="AC290" s="177"/>
    </row>
    <row r="291" spans="29:29" x14ac:dyDescent="0.25">
      <c r="AC291" s="177"/>
    </row>
    <row r="292" spans="29:29" x14ac:dyDescent="0.25">
      <c r="AC292" s="177"/>
    </row>
    <row r="293" spans="29:29" x14ac:dyDescent="0.25">
      <c r="AC293" s="177"/>
    </row>
    <row r="294" spans="29:29" x14ac:dyDescent="0.25">
      <c r="AC294" s="177"/>
    </row>
    <row r="295" spans="29:29" x14ac:dyDescent="0.25">
      <c r="AC295" s="177"/>
    </row>
    <row r="296" spans="29:29" x14ac:dyDescent="0.25">
      <c r="AC296" s="177"/>
    </row>
    <row r="297" spans="29:29" x14ac:dyDescent="0.25">
      <c r="AC297" s="177"/>
    </row>
    <row r="298" spans="29:29" x14ac:dyDescent="0.25">
      <c r="AC298" s="177"/>
    </row>
    <row r="299" spans="29:29" x14ac:dyDescent="0.25">
      <c r="AC299" s="177"/>
    </row>
    <row r="300" spans="29:29" x14ac:dyDescent="0.25">
      <c r="AC300" s="177"/>
    </row>
    <row r="301" spans="29:29" x14ac:dyDescent="0.25">
      <c r="AC301" s="177"/>
    </row>
    <row r="302" spans="29:29" x14ac:dyDescent="0.25">
      <c r="AC302" s="177"/>
    </row>
    <row r="303" spans="29:29" x14ac:dyDescent="0.25">
      <c r="AC303" s="177"/>
    </row>
    <row r="304" spans="29:29" x14ac:dyDescent="0.25">
      <c r="AC304" s="177"/>
    </row>
    <row r="305" spans="29:29" x14ac:dyDescent="0.25">
      <c r="AC305" s="177"/>
    </row>
    <row r="306" spans="29:29" x14ac:dyDescent="0.25">
      <c r="AC306" s="177"/>
    </row>
    <row r="307" spans="29:29" x14ac:dyDescent="0.25">
      <c r="AC307" s="177"/>
    </row>
    <row r="308" spans="29:29" x14ac:dyDescent="0.25">
      <c r="AC308" s="177"/>
    </row>
    <row r="309" spans="29:29" x14ac:dyDescent="0.25">
      <c r="AC309" s="177"/>
    </row>
    <row r="310" spans="29:29" x14ac:dyDescent="0.25">
      <c r="AC310" s="177"/>
    </row>
    <row r="311" spans="29:29" x14ac:dyDescent="0.25">
      <c r="AC311" s="177"/>
    </row>
    <row r="312" spans="29:29" x14ac:dyDescent="0.25">
      <c r="AC312" s="177"/>
    </row>
    <row r="313" spans="29:29" x14ac:dyDescent="0.25">
      <c r="AC313" s="177"/>
    </row>
    <row r="314" spans="29:29" x14ac:dyDescent="0.25">
      <c r="AC314" s="177"/>
    </row>
    <row r="315" spans="29:29" x14ac:dyDescent="0.25">
      <c r="AC315" s="177"/>
    </row>
    <row r="316" spans="29:29" x14ac:dyDescent="0.25">
      <c r="AC316" s="177"/>
    </row>
    <row r="317" spans="29:29" x14ac:dyDescent="0.25">
      <c r="AC317" s="177"/>
    </row>
    <row r="318" spans="29:29" x14ac:dyDescent="0.25">
      <c r="AC318" s="177"/>
    </row>
    <row r="319" spans="29:29" x14ac:dyDescent="0.25">
      <c r="AC319" s="177"/>
    </row>
    <row r="320" spans="29:29" x14ac:dyDescent="0.25">
      <c r="AC320" s="177"/>
    </row>
    <row r="321" spans="29:29" x14ac:dyDescent="0.25">
      <c r="AC321" s="177"/>
    </row>
    <row r="322" spans="29:29" x14ac:dyDescent="0.25">
      <c r="AC322" s="177"/>
    </row>
    <row r="323" spans="29:29" x14ac:dyDescent="0.25">
      <c r="AC323" s="177"/>
    </row>
    <row r="324" spans="29:29" x14ac:dyDescent="0.25">
      <c r="AC324" s="177"/>
    </row>
    <row r="325" spans="29:29" x14ac:dyDescent="0.25">
      <c r="AC325" s="177"/>
    </row>
    <row r="326" spans="29:29" x14ac:dyDescent="0.25">
      <c r="AC326" s="177"/>
    </row>
    <row r="327" spans="29:29" x14ac:dyDescent="0.25">
      <c r="AC327" s="177"/>
    </row>
    <row r="328" spans="29:29" x14ac:dyDescent="0.25">
      <c r="AC328" s="177"/>
    </row>
    <row r="329" spans="29:29" x14ac:dyDescent="0.25">
      <c r="AC329" s="177"/>
    </row>
    <row r="330" spans="29:29" x14ac:dyDescent="0.25">
      <c r="AC330" s="177"/>
    </row>
    <row r="331" spans="29:29" x14ac:dyDescent="0.25">
      <c r="AC331" s="177"/>
    </row>
    <row r="332" spans="29:29" x14ac:dyDescent="0.25">
      <c r="AC332" s="177"/>
    </row>
    <row r="333" spans="29:29" x14ac:dyDescent="0.25">
      <c r="AC333" s="177"/>
    </row>
    <row r="334" spans="29:29" x14ac:dyDescent="0.25">
      <c r="AC334" s="177"/>
    </row>
    <row r="335" spans="29:29" x14ac:dyDescent="0.25">
      <c r="AC335" s="177"/>
    </row>
    <row r="336" spans="29:29" x14ac:dyDescent="0.25">
      <c r="AC336" s="177"/>
    </row>
    <row r="337" spans="29:29" x14ac:dyDescent="0.25">
      <c r="AC337" s="177"/>
    </row>
    <row r="338" spans="29:29" x14ac:dyDescent="0.25">
      <c r="AC338" s="177"/>
    </row>
    <row r="339" spans="29:29" x14ac:dyDescent="0.25">
      <c r="AC339" s="177"/>
    </row>
    <row r="340" spans="29:29" x14ac:dyDescent="0.25">
      <c r="AC340" s="177"/>
    </row>
    <row r="341" spans="29:29" x14ac:dyDescent="0.25">
      <c r="AC341" s="177"/>
    </row>
    <row r="342" spans="29:29" x14ac:dyDescent="0.25">
      <c r="AC342" s="177"/>
    </row>
    <row r="343" spans="29:29" x14ac:dyDescent="0.25">
      <c r="AC343" s="177"/>
    </row>
    <row r="344" spans="29:29" x14ac:dyDescent="0.25">
      <c r="AC344" s="177"/>
    </row>
    <row r="345" spans="29:29" x14ac:dyDescent="0.25">
      <c r="AC345" s="177"/>
    </row>
    <row r="346" spans="29:29" x14ac:dyDescent="0.25">
      <c r="AC346" s="177"/>
    </row>
    <row r="347" spans="29:29" x14ac:dyDescent="0.25">
      <c r="AC347" s="177"/>
    </row>
    <row r="348" spans="29:29" x14ac:dyDescent="0.25">
      <c r="AC348" s="177"/>
    </row>
    <row r="349" spans="29:29" x14ac:dyDescent="0.25">
      <c r="AC349" s="177"/>
    </row>
    <row r="350" spans="29:29" x14ac:dyDescent="0.25">
      <c r="AC350" s="177"/>
    </row>
    <row r="351" spans="29:29" x14ac:dyDescent="0.25">
      <c r="AC351" s="177"/>
    </row>
    <row r="352" spans="29:29" x14ac:dyDescent="0.25">
      <c r="AC352" s="177"/>
    </row>
    <row r="353" spans="29:29" x14ac:dyDescent="0.25">
      <c r="AC353" s="177"/>
    </row>
    <row r="354" spans="29:29" x14ac:dyDescent="0.25">
      <c r="AC354" s="177"/>
    </row>
    <row r="355" spans="29:29" x14ac:dyDescent="0.25">
      <c r="AC355" s="177"/>
    </row>
    <row r="356" spans="29:29" x14ac:dyDescent="0.25">
      <c r="AC356" s="177"/>
    </row>
    <row r="357" spans="29:29" x14ac:dyDescent="0.25">
      <c r="AC357" s="177"/>
    </row>
    <row r="358" spans="29:29" x14ac:dyDescent="0.25">
      <c r="AC358" s="177"/>
    </row>
    <row r="359" spans="29:29" x14ac:dyDescent="0.25">
      <c r="AC359" s="177"/>
    </row>
    <row r="360" spans="29:29" x14ac:dyDescent="0.25">
      <c r="AC360" s="177"/>
    </row>
    <row r="361" spans="29:29" x14ac:dyDescent="0.25">
      <c r="AC361" s="177"/>
    </row>
    <row r="362" spans="29:29" x14ac:dyDescent="0.25">
      <c r="AC362" s="177"/>
    </row>
    <row r="363" spans="29:29" x14ac:dyDescent="0.25">
      <c r="AC363" s="177"/>
    </row>
    <row r="364" spans="29:29" x14ac:dyDescent="0.25">
      <c r="AC364" s="177"/>
    </row>
    <row r="365" spans="29:29" x14ac:dyDescent="0.25">
      <c r="AC365" s="177"/>
    </row>
    <row r="366" spans="29:29" x14ac:dyDescent="0.25">
      <c r="AC366" s="177"/>
    </row>
    <row r="367" spans="29:29" x14ac:dyDescent="0.25">
      <c r="AC367" s="177"/>
    </row>
    <row r="368" spans="29:29" x14ac:dyDescent="0.25">
      <c r="AC368" s="177"/>
    </row>
    <row r="369" spans="29:29" x14ac:dyDescent="0.25">
      <c r="AC369" s="177"/>
    </row>
    <row r="370" spans="29:29" x14ac:dyDescent="0.25">
      <c r="AC370" s="177"/>
    </row>
    <row r="371" spans="29:29" x14ac:dyDescent="0.25">
      <c r="AC371" s="177"/>
    </row>
    <row r="372" spans="29:29" x14ac:dyDescent="0.25">
      <c r="AC372" s="177"/>
    </row>
    <row r="373" spans="29:29" x14ac:dyDescent="0.25">
      <c r="AC373" s="177"/>
    </row>
    <row r="374" spans="29:29" x14ac:dyDescent="0.25">
      <c r="AC374" s="177"/>
    </row>
    <row r="375" spans="29:29" x14ac:dyDescent="0.25">
      <c r="AC375" s="177"/>
    </row>
    <row r="376" spans="29:29" x14ac:dyDescent="0.25">
      <c r="AC376" s="177"/>
    </row>
    <row r="377" spans="29:29" x14ac:dyDescent="0.25">
      <c r="AC377" s="177"/>
    </row>
    <row r="378" spans="29:29" x14ac:dyDescent="0.25">
      <c r="AC378" s="177"/>
    </row>
    <row r="379" spans="29:29" x14ac:dyDescent="0.25">
      <c r="AC379" s="177"/>
    </row>
    <row r="380" spans="29:29" x14ac:dyDescent="0.25">
      <c r="AC380" s="177"/>
    </row>
    <row r="381" spans="29:29" x14ac:dyDescent="0.25">
      <c r="AC381" s="177"/>
    </row>
    <row r="382" spans="29:29" x14ac:dyDescent="0.25">
      <c r="AC382" s="177"/>
    </row>
    <row r="383" spans="29:29" x14ac:dyDescent="0.25">
      <c r="AC383" s="177"/>
    </row>
    <row r="384" spans="29:29" x14ac:dyDescent="0.25">
      <c r="AC384" s="177"/>
    </row>
    <row r="385" spans="29:29" x14ac:dyDescent="0.25">
      <c r="AC385" s="177"/>
    </row>
    <row r="386" spans="29:29" x14ac:dyDescent="0.25">
      <c r="AC386" s="177"/>
    </row>
    <row r="387" spans="29:29" x14ac:dyDescent="0.25">
      <c r="AC387" s="177"/>
    </row>
    <row r="388" spans="29:29" x14ac:dyDescent="0.25">
      <c r="AC388" s="177"/>
    </row>
    <row r="389" spans="29:29" x14ac:dyDescent="0.25">
      <c r="AC389" s="177"/>
    </row>
    <row r="390" spans="29:29" x14ac:dyDescent="0.25">
      <c r="AC390" s="177"/>
    </row>
    <row r="391" spans="29:29" x14ac:dyDescent="0.25">
      <c r="AC391" s="177"/>
    </row>
    <row r="392" spans="29:29" x14ac:dyDescent="0.25">
      <c r="AC392" s="177"/>
    </row>
    <row r="393" spans="29:29" x14ac:dyDescent="0.25">
      <c r="AC393" s="177"/>
    </row>
    <row r="394" spans="29:29" x14ac:dyDescent="0.25">
      <c r="AC394" s="177"/>
    </row>
    <row r="395" spans="29:29" x14ac:dyDescent="0.25">
      <c r="AC395" s="177"/>
    </row>
    <row r="396" spans="29:29" x14ac:dyDescent="0.25">
      <c r="AC396" s="177"/>
    </row>
    <row r="397" spans="29:29" x14ac:dyDescent="0.25">
      <c r="AC397" s="177"/>
    </row>
    <row r="398" spans="29:29" x14ac:dyDescent="0.25">
      <c r="AC398" s="177"/>
    </row>
    <row r="399" spans="29:29" x14ac:dyDescent="0.25">
      <c r="AC399" s="177"/>
    </row>
    <row r="400" spans="29:29" x14ac:dyDescent="0.25">
      <c r="AC400" s="177"/>
    </row>
    <row r="401" spans="29:29" x14ac:dyDescent="0.25">
      <c r="AC401" s="177"/>
    </row>
    <row r="402" spans="29:29" x14ac:dyDescent="0.25">
      <c r="AC402" s="177"/>
    </row>
    <row r="403" spans="29:29" x14ac:dyDescent="0.25">
      <c r="AC403" s="177"/>
    </row>
    <row r="404" spans="29:29" x14ac:dyDescent="0.25">
      <c r="AC404" s="177"/>
    </row>
    <row r="405" spans="29:29" x14ac:dyDescent="0.25">
      <c r="AC405" s="177"/>
    </row>
    <row r="406" spans="29:29" x14ac:dyDescent="0.25">
      <c r="AC406" s="177"/>
    </row>
    <row r="407" spans="29:29" x14ac:dyDescent="0.25">
      <c r="AC407" s="177"/>
    </row>
    <row r="408" spans="29:29" x14ac:dyDescent="0.25">
      <c r="AC408" s="177"/>
    </row>
    <row r="409" spans="29:29" x14ac:dyDescent="0.25">
      <c r="AC409" s="177"/>
    </row>
    <row r="410" spans="29:29" x14ac:dyDescent="0.25">
      <c r="AC410" s="177"/>
    </row>
    <row r="411" spans="29:29" x14ac:dyDescent="0.25">
      <c r="AC411" s="177"/>
    </row>
    <row r="412" spans="29:29" x14ac:dyDescent="0.25">
      <c r="AC412" s="177"/>
    </row>
    <row r="413" spans="29:29" x14ac:dyDescent="0.25">
      <c r="AC413" s="177"/>
    </row>
    <row r="414" spans="29:29" x14ac:dyDescent="0.25">
      <c r="AC414" s="177"/>
    </row>
    <row r="415" spans="29:29" x14ac:dyDescent="0.25">
      <c r="AC415" s="177"/>
    </row>
    <row r="416" spans="29:29" x14ac:dyDescent="0.25">
      <c r="AC416" s="177"/>
    </row>
    <row r="417" spans="29:29" x14ac:dyDescent="0.25">
      <c r="AC417" s="177"/>
    </row>
    <row r="418" spans="29:29" x14ac:dyDescent="0.25">
      <c r="AC418" s="177"/>
    </row>
    <row r="419" spans="29:29" x14ac:dyDescent="0.25">
      <c r="AC419" s="177"/>
    </row>
    <row r="420" spans="29:29" x14ac:dyDescent="0.25">
      <c r="AC420" s="177"/>
    </row>
    <row r="421" spans="29:29" x14ac:dyDescent="0.25">
      <c r="AC421" s="177"/>
    </row>
    <row r="422" spans="29:29" x14ac:dyDescent="0.25">
      <c r="AC422" s="177"/>
    </row>
    <row r="423" spans="29:29" x14ac:dyDescent="0.25">
      <c r="AC423" s="177"/>
    </row>
    <row r="424" spans="29:29" x14ac:dyDescent="0.25">
      <c r="AC424" s="177"/>
    </row>
    <row r="425" spans="29:29" x14ac:dyDescent="0.25">
      <c r="AC425" s="177"/>
    </row>
    <row r="426" spans="29:29" x14ac:dyDescent="0.25">
      <c r="AC426" s="177"/>
    </row>
    <row r="427" spans="29:29" x14ac:dyDescent="0.25">
      <c r="AC427" s="177"/>
    </row>
    <row r="428" spans="29:29" x14ac:dyDescent="0.25">
      <c r="AC428" s="177"/>
    </row>
    <row r="429" spans="29:29" x14ac:dyDescent="0.25">
      <c r="AC429" s="177"/>
    </row>
    <row r="430" spans="29:29" x14ac:dyDescent="0.25">
      <c r="AC430" s="177"/>
    </row>
    <row r="431" spans="29:29" x14ac:dyDescent="0.25">
      <c r="AC431" s="177"/>
    </row>
    <row r="432" spans="29:29" x14ac:dyDescent="0.25">
      <c r="AC432" s="177"/>
    </row>
    <row r="433" spans="29:29" x14ac:dyDescent="0.25">
      <c r="AC433" s="177"/>
    </row>
    <row r="434" spans="29:29" x14ac:dyDescent="0.25">
      <c r="AC434" s="177"/>
    </row>
    <row r="435" spans="29:29" x14ac:dyDescent="0.25">
      <c r="AC435" s="177"/>
    </row>
    <row r="436" spans="29:29" x14ac:dyDescent="0.25">
      <c r="AC436" s="177"/>
    </row>
    <row r="437" spans="29:29" x14ac:dyDescent="0.25">
      <c r="AC437" s="177"/>
    </row>
    <row r="438" spans="29:29" x14ac:dyDescent="0.25">
      <c r="AC438" s="177"/>
    </row>
    <row r="439" spans="29:29" x14ac:dyDescent="0.25">
      <c r="AC439" s="177"/>
    </row>
    <row r="440" spans="29:29" x14ac:dyDescent="0.25">
      <c r="AC440" s="177"/>
    </row>
    <row r="441" spans="29:29" x14ac:dyDescent="0.25">
      <c r="AC441" s="177"/>
    </row>
    <row r="442" spans="29:29" x14ac:dyDescent="0.25">
      <c r="AC442" s="177"/>
    </row>
    <row r="443" spans="29:29" x14ac:dyDescent="0.25">
      <c r="AC443" s="177"/>
    </row>
    <row r="444" spans="29:29" x14ac:dyDescent="0.25">
      <c r="AC444" s="177"/>
    </row>
    <row r="445" spans="29:29" x14ac:dyDescent="0.25">
      <c r="AC445" s="177"/>
    </row>
    <row r="446" spans="29:29" x14ac:dyDescent="0.25">
      <c r="AC446" s="177"/>
    </row>
    <row r="447" spans="29:29" x14ac:dyDescent="0.25">
      <c r="AC447" s="177"/>
    </row>
    <row r="448" spans="29:29" x14ac:dyDescent="0.25">
      <c r="AC448" s="177"/>
    </row>
    <row r="449" spans="29:29" x14ac:dyDescent="0.25">
      <c r="AC449" s="177"/>
    </row>
    <row r="450" spans="29:29" x14ac:dyDescent="0.25">
      <c r="AC450" s="177"/>
    </row>
    <row r="451" spans="29:29" x14ac:dyDescent="0.25">
      <c r="AC451" s="177"/>
    </row>
    <row r="452" spans="29:29" x14ac:dyDescent="0.25">
      <c r="AC452" s="177"/>
    </row>
    <row r="453" spans="29:29" x14ac:dyDescent="0.25">
      <c r="AC453" s="177"/>
    </row>
    <row r="454" spans="29:29" x14ac:dyDescent="0.25">
      <c r="AC454" s="177"/>
    </row>
    <row r="455" spans="29:29" x14ac:dyDescent="0.25">
      <c r="AC455" s="177"/>
    </row>
    <row r="456" spans="29:29" x14ac:dyDescent="0.25">
      <c r="AC456" s="177"/>
    </row>
    <row r="457" spans="29:29" x14ac:dyDescent="0.25">
      <c r="AC457" s="177"/>
    </row>
    <row r="458" spans="29:29" x14ac:dyDescent="0.25">
      <c r="AC458" s="177"/>
    </row>
    <row r="459" spans="29:29" x14ac:dyDescent="0.25">
      <c r="AC459" s="177"/>
    </row>
    <row r="460" spans="29:29" x14ac:dyDescent="0.25">
      <c r="AC460" s="177"/>
    </row>
    <row r="461" spans="29:29" x14ac:dyDescent="0.25">
      <c r="AC461" s="177"/>
    </row>
    <row r="462" spans="29:29" x14ac:dyDescent="0.25">
      <c r="AC462" s="177"/>
    </row>
    <row r="463" spans="29:29" x14ac:dyDescent="0.25">
      <c r="AC463" s="177"/>
    </row>
    <row r="464" spans="29:29" x14ac:dyDescent="0.25">
      <c r="AC464" s="177"/>
    </row>
    <row r="465" spans="29:29" x14ac:dyDescent="0.25">
      <c r="AC465" s="177"/>
    </row>
    <row r="466" spans="29:29" x14ac:dyDescent="0.25">
      <c r="AC466" s="177"/>
    </row>
    <row r="467" spans="29:29" x14ac:dyDescent="0.25">
      <c r="AC467" s="177"/>
    </row>
    <row r="468" spans="29:29" x14ac:dyDescent="0.25">
      <c r="AC468" s="177"/>
    </row>
    <row r="469" spans="29:29" x14ac:dyDescent="0.25">
      <c r="AC469" s="177"/>
    </row>
    <row r="470" spans="29:29" x14ac:dyDescent="0.25">
      <c r="AC470" s="177"/>
    </row>
    <row r="471" spans="29:29" x14ac:dyDescent="0.25">
      <c r="AC471" s="177"/>
    </row>
    <row r="472" spans="29:29" x14ac:dyDescent="0.25">
      <c r="AC472" s="177"/>
    </row>
    <row r="473" spans="29:29" x14ac:dyDescent="0.25">
      <c r="AC473" s="177"/>
    </row>
    <row r="474" spans="29:29" x14ac:dyDescent="0.25">
      <c r="AC474" s="177"/>
    </row>
    <row r="475" spans="29:29" x14ac:dyDescent="0.25">
      <c r="AC475" s="177"/>
    </row>
    <row r="476" spans="29:29" x14ac:dyDescent="0.25">
      <c r="AC476" s="177"/>
    </row>
    <row r="477" spans="29:29" x14ac:dyDescent="0.25">
      <c r="AC477" s="177"/>
    </row>
    <row r="478" spans="29:29" x14ac:dyDescent="0.25">
      <c r="AC478" s="177"/>
    </row>
    <row r="479" spans="29:29" x14ac:dyDescent="0.25">
      <c r="AC479" s="177"/>
    </row>
    <row r="480" spans="29:29" x14ac:dyDescent="0.25">
      <c r="AC480" s="177"/>
    </row>
    <row r="481" spans="29:29" x14ac:dyDescent="0.25">
      <c r="AC481" s="177"/>
    </row>
    <row r="482" spans="29:29" x14ac:dyDescent="0.25">
      <c r="AC482" s="177"/>
    </row>
    <row r="483" spans="29:29" x14ac:dyDescent="0.25">
      <c r="AC483" s="177"/>
    </row>
    <row r="484" spans="29:29" x14ac:dyDescent="0.25">
      <c r="AC484" s="177"/>
    </row>
    <row r="485" spans="29:29" x14ac:dyDescent="0.25">
      <c r="AC485" s="177"/>
    </row>
    <row r="486" spans="29:29" x14ac:dyDescent="0.25">
      <c r="AC486" s="177"/>
    </row>
    <row r="487" spans="29:29" x14ac:dyDescent="0.25">
      <c r="AC487" s="177"/>
    </row>
    <row r="488" spans="29:29" x14ac:dyDescent="0.25">
      <c r="AC488" s="177"/>
    </row>
    <row r="489" spans="29:29" x14ac:dyDescent="0.25">
      <c r="AC489" s="177"/>
    </row>
    <row r="490" spans="29:29" x14ac:dyDescent="0.25">
      <c r="AC490" s="177"/>
    </row>
    <row r="491" spans="29:29" x14ac:dyDescent="0.25">
      <c r="AC491" s="177"/>
    </row>
    <row r="492" spans="29:29" x14ac:dyDescent="0.25">
      <c r="AC492" s="177"/>
    </row>
    <row r="493" spans="29:29" x14ac:dyDescent="0.25">
      <c r="AC493" s="177"/>
    </row>
    <row r="494" spans="29:29" x14ac:dyDescent="0.25">
      <c r="AC494" s="177"/>
    </row>
    <row r="495" spans="29:29" x14ac:dyDescent="0.25">
      <c r="AC495" s="177"/>
    </row>
  </sheetData>
  <mergeCells count="22">
    <mergeCell ref="T3:T4"/>
    <mergeCell ref="U3:U4"/>
    <mergeCell ref="W3:W4"/>
    <mergeCell ref="X3:X4"/>
    <mergeCell ref="A5:AB5"/>
    <mergeCell ref="A42:AB42"/>
    <mergeCell ref="V1:V4"/>
    <mergeCell ref="W1:X2"/>
    <mergeCell ref="Y1:Y4"/>
    <mergeCell ref="Z1:Z4"/>
    <mergeCell ref="AA1:AA4"/>
    <mergeCell ref="AB1:AB4"/>
    <mergeCell ref="A1:A4"/>
    <mergeCell ref="B1:O2"/>
    <mergeCell ref="P1:P4"/>
    <mergeCell ref="Q1:R2"/>
    <mergeCell ref="S1:S4"/>
    <mergeCell ref="T1:U2"/>
    <mergeCell ref="B3:H3"/>
    <mergeCell ref="I3:O3"/>
    <mergeCell ref="Q3:Q4"/>
    <mergeCell ref="R3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="90" zoomScaleNormal="90" workbookViewId="0">
      <selection activeCell="J102" sqref="J102"/>
    </sheetView>
  </sheetViews>
  <sheetFormatPr defaultColWidth="9.140625" defaultRowHeight="12.75" x14ac:dyDescent="0.2"/>
  <cols>
    <col min="1" max="1" width="8.140625" style="13" customWidth="1"/>
    <col min="2" max="2" width="25.5703125" style="13" customWidth="1"/>
    <col min="3" max="3" width="15.7109375" style="13" customWidth="1"/>
    <col min="4" max="4" width="14.28515625" style="13" customWidth="1"/>
    <col min="5" max="5" width="17.85546875" style="13" customWidth="1"/>
    <col min="6" max="6" width="9.140625" style="13"/>
    <col min="7" max="7" width="13.7109375" style="13" customWidth="1"/>
    <col min="8" max="8" width="9.140625" style="13"/>
    <col min="9" max="9" width="17.85546875" style="13" customWidth="1"/>
    <col min="10" max="16384" width="9.140625" style="13"/>
  </cols>
  <sheetData>
    <row r="1" spans="1:9" ht="26.25" customHeight="1" thickBot="1" x14ac:dyDescent="0.25">
      <c r="A1" s="247" t="s">
        <v>496</v>
      </c>
      <c r="B1" s="247" t="s">
        <v>103</v>
      </c>
      <c r="C1" s="247" t="s">
        <v>15</v>
      </c>
      <c r="D1" s="247" t="s">
        <v>16</v>
      </c>
      <c r="E1" s="247" t="s">
        <v>17</v>
      </c>
      <c r="F1" s="250" t="s">
        <v>1</v>
      </c>
      <c r="G1" s="251"/>
      <c r="H1" s="252"/>
      <c r="I1" s="247" t="s">
        <v>213</v>
      </c>
    </row>
    <row r="2" spans="1:9" ht="15.75" customHeight="1" thickBot="1" x14ac:dyDescent="0.25">
      <c r="A2" s="248"/>
      <c r="B2" s="248"/>
      <c r="C2" s="248"/>
      <c r="D2" s="248"/>
      <c r="E2" s="248"/>
      <c r="F2" s="62" t="s">
        <v>8</v>
      </c>
      <c r="G2" s="62" t="s">
        <v>9</v>
      </c>
      <c r="H2" s="62" t="s">
        <v>10</v>
      </c>
      <c r="I2" s="248"/>
    </row>
    <row r="3" spans="1:9" ht="13.5" thickBot="1" x14ac:dyDescent="0.25">
      <c r="A3" s="7"/>
      <c r="B3" s="7" t="s">
        <v>113</v>
      </c>
      <c r="C3" s="6">
        <f>SUM(C4:C14)</f>
        <v>0</v>
      </c>
      <c r="D3" s="6">
        <f t="shared" ref="D3:H3" si="0">SUM(D4:D14)</f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6">
        <f t="shared" si="0"/>
        <v>0</v>
      </c>
      <c r="I3" s="6">
        <f>SUM(I4:I14)</f>
        <v>0</v>
      </c>
    </row>
    <row r="4" spans="1:9" ht="13.5" thickBot="1" x14ac:dyDescent="0.25">
      <c r="A4" s="8">
        <v>1</v>
      </c>
      <c r="B4" s="8" t="s">
        <v>18</v>
      </c>
      <c r="C4" s="1"/>
      <c r="D4" s="1"/>
      <c r="E4" s="1"/>
      <c r="F4" s="2"/>
      <c r="G4" s="2"/>
      <c r="H4" s="2"/>
      <c r="I4" s="2"/>
    </row>
    <row r="5" spans="1:9" ht="13.5" thickBot="1" x14ac:dyDescent="0.25">
      <c r="A5" s="8">
        <v>2</v>
      </c>
      <c r="B5" s="8" t="s">
        <v>19</v>
      </c>
      <c r="C5" s="1"/>
      <c r="D5" s="1"/>
      <c r="E5" s="1"/>
      <c r="F5" s="2"/>
      <c r="G5" s="2"/>
      <c r="H5" s="2"/>
      <c r="I5" s="2"/>
    </row>
    <row r="6" spans="1:9" ht="13.5" thickBot="1" x14ac:dyDescent="0.25">
      <c r="A6" s="8">
        <v>3</v>
      </c>
      <c r="B6" s="8" t="s">
        <v>20</v>
      </c>
      <c r="C6" s="1"/>
      <c r="D6" s="1"/>
      <c r="E6" s="1"/>
      <c r="F6" s="2"/>
      <c r="G6" s="2"/>
      <c r="H6" s="2"/>
      <c r="I6" s="2"/>
    </row>
    <row r="7" spans="1:9" ht="13.5" thickBot="1" x14ac:dyDescent="0.25">
      <c r="A7" s="8">
        <v>4</v>
      </c>
      <c r="B7" s="8" t="s">
        <v>21</v>
      </c>
      <c r="C7" s="1"/>
      <c r="D7" s="1"/>
      <c r="E7" s="1"/>
      <c r="F7" s="2"/>
      <c r="G7" s="2"/>
      <c r="H7" s="2"/>
      <c r="I7" s="2"/>
    </row>
    <row r="8" spans="1:9" ht="13.5" thickBot="1" x14ac:dyDescent="0.25">
      <c r="A8" s="8">
        <v>5</v>
      </c>
      <c r="B8" s="8" t="s">
        <v>22</v>
      </c>
      <c r="C8" s="1"/>
      <c r="D8" s="1"/>
      <c r="E8" s="1"/>
      <c r="F8" s="2"/>
      <c r="G8" s="2"/>
      <c r="H8" s="2"/>
      <c r="I8" s="2"/>
    </row>
    <row r="9" spans="1:9" ht="13.5" thickBot="1" x14ac:dyDescent="0.25">
      <c r="A9" s="8">
        <v>6</v>
      </c>
      <c r="B9" s="8" t="s">
        <v>23</v>
      </c>
      <c r="C9" s="1"/>
      <c r="D9" s="1"/>
      <c r="E9" s="1"/>
      <c r="F9" s="2"/>
      <c r="G9" s="2"/>
      <c r="H9" s="2"/>
      <c r="I9" s="2"/>
    </row>
    <row r="10" spans="1:9" ht="13.5" thickBot="1" x14ac:dyDescent="0.25">
      <c r="A10" s="8">
        <v>7</v>
      </c>
      <c r="B10" s="8" t="s">
        <v>24</v>
      </c>
      <c r="C10" s="1"/>
      <c r="D10" s="1"/>
      <c r="E10" s="1"/>
      <c r="F10" s="2"/>
      <c r="G10" s="2"/>
      <c r="H10" s="2"/>
      <c r="I10" s="2"/>
    </row>
    <row r="11" spans="1:9" ht="13.5" thickBot="1" x14ac:dyDescent="0.25">
      <c r="A11" s="8">
        <v>8</v>
      </c>
      <c r="B11" s="8" t="s">
        <v>25</v>
      </c>
      <c r="C11" s="1"/>
      <c r="D11" s="1"/>
      <c r="E11" s="1"/>
      <c r="F11" s="2"/>
      <c r="G11" s="2"/>
      <c r="H11" s="2"/>
      <c r="I11" s="2"/>
    </row>
    <row r="12" spans="1:9" ht="13.5" thickBot="1" x14ac:dyDescent="0.25">
      <c r="A12" s="8">
        <v>9</v>
      </c>
      <c r="B12" s="8" t="s">
        <v>26</v>
      </c>
      <c r="C12" s="1"/>
      <c r="D12" s="1"/>
      <c r="E12" s="1"/>
      <c r="F12" s="2"/>
      <c r="G12" s="2"/>
      <c r="H12" s="2"/>
      <c r="I12" s="2"/>
    </row>
    <row r="13" spans="1:9" ht="15.75" customHeight="1" thickBot="1" x14ac:dyDescent="0.25">
      <c r="A13" s="8">
        <v>10</v>
      </c>
      <c r="B13" s="8" t="s">
        <v>27</v>
      </c>
      <c r="C13" s="1"/>
      <c r="D13" s="1"/>
      <c r="E13" s="1"/>
      <c r="F13" s="2"/>
      <c r="G13" s="2"/>
      <c r="H13" s="2"/>
      <c r="I13" s="2"/>
    </row>
    <row r="14" spans="1:9" ht="15" customHeight="1" thickBot="1" x14ac:dyDescent="0.25">
      <c r="A14" s="8">
        <v>11</v>
      </c>
      <c r="B14" s="8" t="s">
        <v>28</v>
      </c>
      <c r="C14" s="1"/>
      <c r="D14" s="1"/>
      <c r="E14" s="1"/>
      <c r="F14" s="2"/>
      <c r="G14" s="2"/>
      <c r="H14" s="2"/>
      <c r="I14" s="2"/>
    </row>
    <row r="15" spans="1:9" ht="13.5" thickBot="1" x14ac:dyDescent="0.25">
      <c r="A15" s="9"/>
      <c r="B15" s="9" t="s">
        <v>115</v>
      </c>
      <c r="C15" s="6">
        <f>SUM(C16:C25)</f>
        <v>0</v>
      </c>
      <c r="D15" s="6">
        <f t="shared" ref="D15:I15" si="1">SUM(D16:D25)</f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6">
        <f t="shared" si="1"/>
        <v>0</v>
      </c>
    </row>
    <row r="16" spans="1:9" ht="13.5" thickBot="1" x14ac:dyDescent="0.25">
      <c r="A16" s="8">
        <v>12</v>
      </c>
      <c r="B16" s="8" t="s">
        <v>29</v>
      </c>
      <c r="C16" s="1"/>
      <c r="D16" s="2"/>
      <c r="E16" s="2"/>
      <c r="F16" s="2"/>
      <c r="G16" s="2"/>
      <c r="H16" s="2"/>
      <c r="I16" s="2"/>
    </row>
    <row r="17" spans="1:9" ht="13.5" thickBot="1" x14ac:dyDescent="0.25">
      <c r="A17" s="8">
        <v>13</v>
      </c>
      <c r="B17" s="8" t="s">
        <v>30</v>
      </c>
      <c r="C17" s="1"/>
      <c r="D17" s="2"/>
      <c r="E17" s="2"/>
      <c r="F17" s="2"/>
      <c r="G17" s="2"/>
      <c r="H17" s="2"/>
      <c r="I17" s="2"/>
    </row>
    <row r="18" spans="1:9" ht="13.5" thickBot="1" x14ac:dyDescent="0.25">
      <c r="A18" s="8">
        <v>14</v>
      </c>
      <c r="B18" s="8" t="s">
        <v>31</v>
      </c>
      <c r="C18" s="1"/>
      <c r="D18" s="2"/>
      <c r="E18" s="2"/>
      <c r="F18" s="2"/>
      <c r="G18" s="2"/>
      <c r="H18" s="2"/>
      <c r="I18" s="2"/>
    </row>
    <row r="19" spans="1:9" ht="13.5" thickBot="1" x14ac:dyDescent="0.25">
      <c r="A19" s="8">
        <v>15</v>
      </c>
      <c r="B19" s="10" t="s">
        <v>32</v>
      </c>
      <c r="C19" s="1"/>
      <c r="D19" s="2"/>
      <c r="E19" s="2"/>
      <c r="F19" s="2"/>
      <c r="G19" s="2"/>
      <c r="H19" s="2"/>
      <c r="I19" s="2"/>
    </row>
    <row r="20" spans="1:9" ht="13.5" thickBot="1" x14ac:dyDescent="0.25">
      <c r="A20" s="8">
        <v>16</v>
      </c>
      <c r="B20" s="8" t="s">
        <v>33</v>
      </c>
      <c r="C20" s="1"/>
      <c r="D20" s="2"/>
      <c r="E20" s="2"/>
      <c r="F20" s="2"/>
      <c r="G20" s="2"/>
      <c r="H20" s="2"/>
      <c r="I20" s="2"/>
    </row>
    <row r="21" spans="1:9" ht="13.5" thickBot="1" x14ac:dyDescent="0.25">
      <c r="A21" s="8">
        <v>17</v>
      </c>
      <c r="B21" s="8" t="s">
        <v>34</v>
      </c>
      <c r="C21" s="1"/>
      <c r="D21" s="2"/>
      <c r="E21" s="2"/>
      <c r="F21" s="2"/>
      <c r="G21" s="2"/>
      <c r="H21" s="2"/>
      <c r="I21" s="2"/>
    </row>
    <row r="22" spans="1:9" ht="26.25" thickBot="1" x14ac:dyDescent="0.25">
      <c r="A22" s="8">
        <v>18</v>
      </c>
      <c r="B22" s="8" t="s">
        <v>35</v>
      </c>
      <c r="C22" s="1"/>
      <c r="D22" s="2"/>
      <c r="E22" s="2"/>
      <c r="F22" s="2"/>
      <c r="G22" s="2"/>
      <c r="H22" s="2"/>
      <c r="I22" s="2"/>
    </row>
    <row r="23" spans="1:9" ht="13.5" thickBot="1" x14ac:dyDescent="0.25">
      <c r="A23" s="8">
        <v>19</v>
      </c>
      <c r="B23" s="8" t="s">
        <v>36</v>
      </c>
      <c r="C23" s="1"/>
      <c r="D23" s="2"/>
      <c r="E23" s="2"/>
      <c r="F23" s="2"/>
      <c r="G23" s="2"/>
      <c r="H23" s="2"/>
      <c r="I23" s="2"/>
    </row>
    <row r="24" spans="1:9" ht="13.5" thickBot="1" x14ac:dyDescent="0.25">
      <c r="A24" s="8">
        <v>20</v>
      </c>
      <c r="B24" s="8" t="s">
        <v>37</v>
      </c>
      <c r="C24" s="1"/>
      <c r="D24" s="2"/>
      <c r="E24" s="2"/>
      <c r="F24" s="2"/>
      <c r="G24" s="2"/>
      <c r="H24" s="2"/>
      <c r="I24" s="2"/>
    </row>
    <row r="25" spans="1:9" ht="13.5" thickBot="1" x14ac:dyDescent="0.25">
      <c r="A25" s="8">
        <v>21</v>
      </c>
      <c r="B25" s="8" t="s">
        <v>38</v>
      </c>
      <c r="C25" s="1"/>
      <c r="D25" s="2"/>
      <c r="E25" s="2"/>
      <c r="F25" s="2"/>
      <c r="G25" s="2"/>
      <c r="H25" s="2"/>
      <c r="I25" s="2"/>
    </row>
    <row r="26" spans="1:9" ht="13.5" thickBot="1" x14ac:dyDescent="0.25">
      <c r="A26" s="9"/>
      <c r="B26" s="9" t="s">
        <v>116</v>
      </c>
      <c r="C26" s="6">
        <f>SUM(C27:C32)</f>
        <v>0</v>
      </c>
      <c r="D26" s="6">
        <f t="shared" ref="D26:I26" si="2">SUM(D27:D32)</f>
        <v>0</v>
      </c>
      <c r="E26" s="6">
        <f t="shared" si="2"/>
        <v>0</v>
      </c>
      <c r="F26" s="6">
        <f t="shared" si="2"/>
        <v>0</v>
      </c>
      <c r="G26" s="6">
        <f t="shared" si="2"/>
        <v>0</v>
      </c>
      <c r="H26" s="6">
        <f t="shared" si="2"/>
        <v>0</v>
      </c>
      <c r="I26" s="6">
        <f t="shared" si="2"/>
        <v>0</v>
      </c>
    </row>
    <row r="27" spans="1:9" ht="13.5" thickBot="1" x14ac:dyDescent="0.25">
      <c r="A27" s="8">
        <v>22</v>
      </c>
      <c r="B27" s="8" t="s">
        <v>39</v>
      </c>
      <c r="C27" s="1"/>
      <c r="D27" s="2"/>
      <c r="E27" s="2"/>
      <c r="F27" s="2"/>
      <c r="G27" s="2"/>
      <c r="H27" s="2"/>
      <c r="I27" s="2"/>
    </row>
    <row r="28" spans="1:9" ht="13.5" thickBot="1" x14ac:dyDescent="0.25">
      <c r="A28" s="8">
        <v>23</v>
      </c>
      <c r="B28" s="8" t="s">
        <v>40</v>
      </c>
      <c r="C28" s="1"/>
      <c r="D28" s="2"/>
      <c r="E28" s="2"/>
      <c r="F28" s="2"/>
      <c r="G28" s="2"/>
      <c r="H28" s="2"/>
      <c r="I28" s="2"/>
    </row>
    <row r="29" spans="1:9" ht="13.5" thickBot="1" x14ac:dyDescent="0.25">
      <c r="A29" s="8">
        <v>24</v>
      </c>
      <c r="B29" s="8" t="s">
        <v>41</v>
      </c>
      <c r="C29" s="1"/>
      <c r="D29" s="2"/>
      <c r="E29" s="2"/>
      <c r="F29" s="2"/>
      <c r="G29" s="2"/>
      <c r="H29" s="2"/>
      <c r="I29" s="2"/>
    </row>
    <row r="30" spans="1:9" ht="13.5" thickBot="1" x14ac:dyDescent="0.25">
      <c r="A30" s="8">
        <v>25</v>
      </c>
      <c r="B30" s="8" t="s">
        <v>42</v>
      </c>
      <c r="C30" s="1"/>
      <c r="D30" s="2"/>
      <c r="E30" s="2"/>
      <c r="F30" s="2"/>
      <c r="G30" s="2"/>
      <c r="H30" s="2"/>
      <c r="I30" s="2"/>
    </row>
    <row r="31" spans="1:9" ht="26.25" thickBot="1" x14ac:dyDescent="0.25">
      <c r="A31" s="8">
        <v>26</v>
      </c>
      <c r="B31" s="8" t="s">
        <v>43</v>
      </c>
      <c r="C31" s="1"/>
      <c r="D31" s="2"/>
      <c r="E31" s="2"/>
      <c r="F31" s="2"/>
      <c r="G31" s="2"/>
      <c r="H31" s="2"/>
      <c r="I31" s="2"/>
    </row>
    <row r="32" spans="1:9" ht="26.25" thickBot="1" x14ac:dyDescent="0.25">
      <c r="A32" s="8">
        <v>27</v>
      </c>
      <c r="B32" s="8" t="s">
        <v>44</v>
      </c>
      <c r="C32" s="1"/>
      <c r="D32" s="2"/>
      <c r="E32" s="2"/>
      <c r="F32" s="2"/>
      <c r="G32" s="2"/>
      <c r="H32" s="2"/>
      <c r="I32" s="2"/>
    </row>
    <row r="33" spans="1:9" ht="13.5" thickBot="1" x14ac:dyDescent="0.25">
      <c r="A33" s="7"/>
      <c r="B33" s="7" t="s">
        <v>117</v>
      </c>
      <c r="C33" s="6">
        <f>SUM(C34:C47)</f>
        <v>0</v>
      </c>
      <c r="D33" s="6">
        <f t="shared" ref="D33:I33" si="3">SUM(D34:D47)</f>
        <v>0</v>
      </c>
      <c r="E33" s="6">
        <f t="shared" si="3"/>
        <v>0</v>
      </c>
      <c r="F33" s="6">
        <f t="shared" si="3"/>
        <v>0</v>
      </c>
      <c r="G33" s="6">
        <f t="shared" si="3"/>
        <v>0</v>
      </c>
      <c r="H33" s="6">
        <f t="shared" si="3"/>
        <v>0</v>
      </c>
      <c r="I33" s="6">
        <f t="shared" si="3"/>
        <v>0</v>
      </c>
    </row>
    <row r="34" spans="1:9" ht="13.5" thickBot="1" x14ac:dyDescent="0.25">
      <c r="A34" s="10">
        <v>28</v>
      </c>
      <c r="B34" s="10" t="s">
        <v>45</v>
      </c>
      <c r="C34" s="1"/>
      <c r="D34" s="2"/>
      <c r="E34" s="2"/>
      <c r="F34" s="2"/>
      <c r="G34" s="2"/>
      <c r="H34" s="2"/>
      <c r="I34" s="2"/>
    </row>
    <row r="35" spans="1:9" ht="13.5" thickBot="1" x14ac:dyDescent="0.25">
      <c r="A35" s="10">
        <v>29</v>
      </c>
      <c r="B35" s="10" t="s">
        <v>46</v>
      </c>
      <c r="C35" s="1"/>
      <c r="D35" s="2"/>
      <c r="E35" s="2"/>
      <c r="F35" s="2"/>
      <c r="G35" s="2"/>
      <c r="H35" s="2"/>
      <c r="I35" s="2"/>
    </row>
    <row r="36" spans="1:9" ht="13.5" thickBot="1" x14ac:dyDescent="0.25">
      <c r="A36" s="10">
        <v>30</v>
      </c>
      <c r="B36" s="10" t="s">
        <v>47</v>
      </c>
      <c r="C36" s="1"/>
      <c r="D36" s="2"/>
      <c r="E36" s="2"/>
      <c r="F36" s="2"/>
      <c r="G36" s="2"/>
      <c r="H36" s="2"/>
      <c r="I36" s="2"/>
    </row>
    <row r="37" spans="1:9" ht="13.5" thickBot="1" x14ac:dyDescent="0.25">
      <c r="A37" s="10">
        <v>31</v>
      </c>
      <c r="B37" s="10" t="s">
        <v>48</v>
      </c>
      <c r="C37" s="1"/>
      <c r="D37" s="2"/>
      <c r="E37" s="2"/>
      <c r="F37" s="2"/>
      <c r="G37" s="2"/>
      <c r="H37" s="2"/>
      <c r="I37" s="2"/>
    </row>
    <row r="38" spans="1:9" ht="13.5" thickBot="1" x14ac:dyDescent="0.25">
      <c r="A38" s="10">
        <v>32</v>
      </c>
      <c r="B38" s="10" t="s">
        <v>49</v>
      </c>
      <c r="C38" s="1"/>
      <c r="D38" s="2"/>
      <c r="E38" s="2"/>
      <c r="F38" s="2"/>
      <c r="G38" s="2"/>
      <c r="H38" s="2"/>
      <c r="I38" s="2"/>
    </row>
    <row r="39" spans="1:9" ht="26.25" thickBot="1" x14ac:dyDescent="0.25">
      <c r="A39" s="10">
        <v>33</v>
      </c>
      <c r="B39" s="148" t="s">
        <v>503</v>
      </c>
      <c r="C39" s="1"/>
      <c r="D39" s="2"/>
      <c r="E39" s="2"/>
      <c r="F39" s="2"/>
      <c r="G39" s="2"/>
      <c r="H39" s="2"/>
      <c r="I39" s="2"/>
    </row>
    <row r="40" spans="1:9" ht="13.5" thickBot="1" x14ac:dyDescent="0.25">
      <c r="A40" s="10">
        <v>34</v>
      </c>
      <c r="B40" s="10" t="s">
        <v>51</v>
      </c>
      <c r="C40" s="1"/>
      <c r="D40" s="2"/>
      <c r="E40" s="2"/>
      <c r="F40" s="2"/>
      <c r="G40" s="2"/>
      <c r="H40" s="2"/>
      <c r="I40" s="2"/>
    </row>
    <row r="41" spans="1:9" ht="13.5" thickBot="1" x14ac:dyDescent="0.25">
      <c r="A41" s="10">
        <v>35</v>
      </c>
      <c r="B41" s="10" t="s">
        <v>52</v>
      </c>
      <c r="C41" s="1"/>
      <c r="D41" s="2"/>
      <c r="E41" s="2"/>
      <c r="F41" s="2"/>
      <c r="G41" s="2"/>
      <c r="H41" s="2"/>
      <c r="I41" s="2"/>
    </row>
    <row r="42" spans="1:9" ht="13.5" thickBot="1" x14ac:dyDescent="0.25">
      <c r="A42" s="10">
        <v>36</v>
      </c>
      <c r="B42" s="10" t="s">
        <v>53</v>
      </c>
      <c r="C42" s="1"/>
      <c r="D42" s="2"/>
      <c r="E42" s="2"/>
      <c r="F42" s="2"/>
      <c r="G42" s="2"/>
      <c r="H42" s="2"/>
      <c r="I42" s="2"/>
    </row>
    <row r="43" spans="1:9" ht="13.5" thickBot="1" x14ac:dyDescent="0.25">
      <c r="A43" s="10">
        <v>37</v>
      </c>
      <c r="B43" s="10" t="s">
        <v>54</v>
      </c>
      <c r="C43" s="1"/>
      <c r="D43" s="2"/>
      <c r="E43" s="2"/>
      <c r="F43" s="2"/>
      <c r="G43" s="2"/>
      <c r="H43" s="2"/>
      <c r="I43" s="2"/>
    </row>
    <row r="44" spans="1:9" ht="13.5" thickBot="1" x14ac:dyDescent="0.25">
      <c r="A44" s="10">
        <v>38</v>
      </c>
      <c r="B44" s="10" t="s">
        <v>55</v>
      </c>
      <c r="C44" s="1"/>
      <c r="D44" s="2"/>
      <c r="E44" s="2"/>
      <c r="F44" s="2"/>
      <c r="G44" s="2"/>
      <c r="H44" s="2"/>
      <c r="I44" s="2"/>
    </row>
    <row r="45" spans="1:9" ht="13.5" thickBot="1" x14ac:dyDescent="0.25">
      <c r="A45" s="10">
        <v>39</v>
      </c>
      <c r="B45" s="10" t="s">
        <v>56</v>
      </c>
      <c r="C45" s="1"/>
      <c r="D45" s="2"/>
      <c r="E45" s="2"/>
      <c r="F45" s="2"/>
      <c r="G45" s="2"/>
      <c r="H45" s="2"/>
      <c r="I45" s="2"/>
    </row>
    <row r="46" spans="1:9" ht="13.5" thickBot="1" x14ac:dyDescent="0.25">
      <c r="A46" s="10">
        <v>40</v>
      </c>
      <c r="B46" s="10" t="s">
        <v>57</v>
      </c>
      <c r="C46" s="1"/>
      <c r="D46" s="2"/>
      <c r="E46" s="2"/>
      <c r="F46" s="2"/>
      <c r="G46" s="2"/>
      <c r="H46" s="2"/>
      <c r="I46" s="2"/>
    </row>
    <row r="47" spans="1:9" ht="13.5" thickBot="1" x14ac:dyDescent="0.25">
      <c r="A47" s="10">
        <v>41</v>
      </c>
      <c r="B47" s="10" t="s">
        <v>58</v>
      </c>
      <c r="C47" s="1"/>
      <c r="D47" s="2"/>
      <c r="E47" s="2"/>
      <c r="F47" s="2"/>
      <c r="G47" s="2"/>
      <c r="H47" s="2"/>
      <c r="I47" s="2"/>
    </row>
    <row r="48" spans="1:9" ht="13.5" thickBot="1" x14ac:dyDescent="0.25">
      <c r="A48" s="7"/>
      <c r="B48" s="7" t="s">
        <v>118</v>
      </c>
      <c r="C48" s="6">
        <f>SUM(C49:C56)</f>
        <v>0</v>
      </c>
      <c r="D48" s="6">
        <f t="shared" ref="D48:I48" si="4">SUM(D49:D56)</f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</row>
    <row r="49" spans="1:9" ht="13.5" thickBot="1" x14ac:dyDescent="0.25">
      <c r="A49" s="8">
        <v>42</v>
      </c>
      <c r="B49" s="8" t="s">
        <v>59</v>
      </c>
      <c r="C49" s="1"/>
      <c r="D49" s="2"/>
      <c r="E49" s="2"/>
      <c r="F49" s="2"/>
      <c r="G49" s="2"/>
      <c r="H49" s="2"/>
      <c r="I49" s="2"/>
    </row>
    <row r="50" spans="1:9" ht="13.5" thickBot="1" x14ac:dyDescent="0.25">
      <c r="A50" s="8">
        <v>43</v>
      </c>
      <c r="B50" s="8" t="s">
        <v>60</v>
      </c>
      <c r="C50" s="1"/>
      <c r="D50" s="2"/>
      <c r="E50" s="2"/>
      <c r="F50" s="2"/>
      <c r="G50" s="2"/>
      <c r="H50" s="2"/>
      <c r="I50" s="2"/>
    </row>
    <row r="51" spans="1:9" ht="13.5" thickBot="1" x14ac:dyDescent="0.25">
      <c r="A51" s="8">
        <v>44</v>
      </c>
      <c r="B51" s="10" t="s">
        <v>61</v>
      </c>
      <c r="C51" s="1"/>
      <c r="D51" s="2"/>
      <c r="E51" s="2"/>
      <c r="F51" s="2"/>
      <c r="G51" s="2"/>
      <c r="H51" s="2"/>
      <c r="I51" s="2"/>
    </row>
    <row r="52" spans="1:9" ht="13.5" thickBot="1" x14ac:dyDescent="0.25">
      <c r="A52" s="8">
        <v>45</v>
      </c>
      <c r="B52" s="8" t="s">
        <v>62</v>
      </c>
      <c r="C52" s="1"/>
      <c r="D52" s="2"/>
      <c r="E52" s="2"/>
      <c r="F52" s="2"/>
      <c r="G52" s="2"/>
      <c r="H52" s="2"/>
      <c r="I52" s="2"/>
    </row>
    <row r="53" spans="1:9" ht="13.5" thickBot="1" x14ac:dyDescent="0.25">
      <c r="A53" s="8">
        <v>46</v>
      </c>
      <c r="B53" s="8" t="s">
        <v>63</v>
      </c>
      <c r="C53" s="1"/>
      <c r="D53" s="2"/>
      <c r="E53" s="2"/>
      <c r="F53" s="2"/>
      <c r="G53" s="2"/>
      <c r="H53" s="2"/>
      <c r="I53" s="2"/>
    </row>
    <row r="54" spans="1:9" ht="13.5" thickBot="1" x14ac:dyDescent="0.25">
      <c r="A54" s="8">
        <v>47</v>
      </c>
      <c r="B54" s="8" t="s">
        <v>64</v>
      </c>
      <c r="C54" s="1"/>
      <c r="D54" s="2"/>
      <c r="E54" s="2"/>
      <c r="F54" s="2"/>
      <c r="G54" s="2"/>
      <c r="H54" s="2"/>
      <c r="I54" s="2"/>
    </row>
    <row r="55" spans="1:9" ht="13.5" thickBot="1" x14ac:dyDescent="0.25">
      <c r="A55" s="8">
        <v>48</v>
      </c>
      <c r="B55" s="8" t="s">
        <v>65</v>
      </c>
      <c r="C55" s="1"/>
      <c r="D55" s="2"/>
      <c r="E55" s="2"/>
      <c r="F55" s="2"/>
      <c r="G55" s="2"/>
      <c r="H55" s="2"/>
      <c r="I55" s="2"/>
    </row>
    <row r="56" spans="1:9" ht="13.5" thickBot="1" x14ac:dyDescent="0.25">
      <c r="A56" s="8">
        <v>49</v>
      </c>
      <c r="B56" s="10" t="s">
        <v>66</v>
      </c>
      <c r="C56" s="1"/>
      <c r="D56" s="2"/>
      <c r="E56" s="2"/>
      <c r="F56" s="2"/>
      <c r="G56" s="2"/>
      <c r="H56" s="2"/>
      <c r="I56" s="2"/>
    </row>
    <row r="57" spans="1:9" ht="13.5" thickBot="1" x14ac:dyDescent="0.25">
      <c r="A57" s="7"/>
      <c r="B57" s="7" t="s">
        <v>119</v>
      </c>
      <c r="C57" s="6">
        <f>SUM(C58:C64)</f>
        <v>0</v>
      </c>
      <c r="D57" s="6">
        <f t="shared" ref="D57:I57" si="5">SUM(D58:D64)</f>
        <v>0</v>
      </c>
      <c r="E57" s="6">
        <f t="shared" si="5"/>
        <v>0</v>
      </c>
      <c r="F57" s="6">
        <f t="shared" si="5"/>
        <v>0</v>
      </c>
      <c r="G57" s="6">
        <f t="shared" si="5"/>
        <v>0</v>
      </c>
      <c r="H57" s="6">
        <f t="shared" si="5"/>
        <v>0</v>
      </c>
      <c r="I57" s="6">
        <f t="shared" si="5"/>
        <v>0</v>
      </c>
    </row>
    <row r="58" spans="1:9" ht="13.5" thickBot="1" x14ac:dyDescent="0.25">
      <c r="A58" s="10">
        <v>50</v>
      </c>
      <c r="B58" s="10" t="s">
        <v>67</v>
      </c>
      <c r="C58" s="1"/>
      <c r="D58" s="2"/>
      <c r="E58" s="2"/>
      <c r="F58" s="2"/>
      <c r="G58" s="2"/>
      <c r="H58" s="2"/>
      <c r="I58" s="2"/>
    </row>
    <row r="59" spans="1:9" ht="13.5" thickBot="1" x14ac:dyDescent="0.25">
      <c r="A59" s="10">
        <v>51</v>
      </c>
      <c r="B59" s="10" t="s">
        <v>68</v>
      </c>
      <c r="C59" s="1"/>
      <c r="D59" s="2"/>
      <c r="E59" s="2"/>
      <c r="F59" s="2"/>
      <c r="G59" s="2"/>
      <c r="H59" s="2"/>
      <c r="I59" s="2"/>
    </row>
    <row r="60" spans="1:9" ht="26.25" thickBot="1" x14ac:dyDescent="0.25">
      <c r="A60" s="10">
        <v>52</v>
      </c>
      <c r="B60" s="8" t="s">
        <v>69</v>
      </c>
      <c r="C60" s="1"/>
      <c r="D60" s="2"/>
      <c r="E60" s="2"/>
      <c r="F60" s="2"/>
      <c r="G60" s="2"/>
      <c r="H60" s="2"/>
      <c r="I60" s="2"/>
    </row>
    <row r="61" spans="1:9" ht="26.25" thickBot="1" x14ac:dyDescent="0.25">
      <c r="A61" s="10">
        <v>53</v>
      </c>
      <c r="B61" s="8" t="s">
        <v>70</v>
      </c>
      <c r="C61" s="1"/>
      <c r="D61" s="2"/>
      <c r="E61" s="2"/>
      <c r="F61" s="2"/>
      <c r="G61" s="2"/>
      <c r="H61" s="2"/>
      <c r="I61" s="2"/>
    </row>
    <row r="62" spans="1:9" ht="26.25" thickBot="1" x14ac:dyDescent="0.25">
      <c r="A62" s="10">
        <v>54</v>
      </c>
      <c r="B62" s="8" t="s">
        <v>71</v>
      </c>
      <c r="C62" s="1"/>
      <c r="D62" s="2"/>
      <c r="E62" s="2"/>
      <c r="F62" s="2"/>
      <c r="G62" s="2"/>
      <c r="H62" s="2"/>
      <c r="I62" s="2"/>
    </row>
    <row r="63" spans="1:9" ht="13.5" thickBot="1" x14ac:dyDescent="0.25">
      <c r="A63" s="10">
        <v>55</v>
      </c>
      <c r="B63" s="10" t="s">
        <v>72</v>
      </c>
      <c r="C63" s="1"/>
      <c r="D63" s="2"/>
      <c r="E63" s="2"/>
      <c r="F63" s="2"/>
      <c r="G63" s="2"/>
      <c r="H63" s="2"/>
      <c r="I63" s="2"/>
    </row>
    <row r="64" spans="1:9" ht="13.5" thickBot="1" x14ac:dyDescent="0.25">
      <c r="A64" s="10">
        <v>56</v>
      </c>
      <c r="B64" s="10" t="s">
        <v>73</v>
      </c>
      <c r="C64" s="1"/>
      <c r="D64" s="2"/>
      <c r="E64" s="2"/>
      <c r="F64" s="2"/>
      <c r="G64" s="2"/>
      <c r="H64" s="2"/>
      <c r="I64" s="2"/>
    </row>
    <row r="65" spans="1:9" ht="13.5" thickBot="1" x14ac:dyDescent="0.25">
      <c r="A65" s="7"/>
      <c r="B65" s="7" t="s">
        <v>120</v>
      </c>
      <c r="C65" s="6">
        <f>SUM(C66:C76)</f>
        <v>0</v>
      </c>
      <c r="D65" s="6">
        <f t="shared" ref="D65:I65" si="6">SUM(D66:D76)</f>
        <v>0</v>
      </c>
      <c r="E65" s="6">
        <f t="shared" si="6"/>
        <v>0</v>
      </c>
      <c r="F65" s="6">
        <f t="shared" si="6"/>
        <v>0</v>
      </c>
      <c r="G65" s="6">
        <f t="shared" si="6"/>
        <v>0</v>
      </c>
      <c r="H65" s="6">
        <f t="shared" si="6"/>
        <v>0</v>
      </c>
      <c r="I65" s="6">
        <f t="shared" si="6"/>
        <v>0</v>
      </c>
    </row>
    <row r="66" spans="1:9" ht="13.5" thickBot="1" x14ac:dyDescent="0.25">
      <c r="A66" s="10">
        <v>57</v>
      </c>
      <c r="B66" s="10" t="s">
        <v>74</v>
      </c>
      <c r="C66" s="1"/>
      <c r="D66" s="2"/>
      <c r="E66" s="2"/>
      <c r="F66" s="2"/>
      <c r="G66" s="2"/>
      <c r="H66" s="2"/>
      <c r="I66" s="2"/>
    </row>
    <row r="67" spans="1:9" ht="13.5" thickBot="1" x14ac:dyDescent="0.25">
      <c r="A67" s="8">
        <v>58</v>
      </c>
      <c r="B67" s="8" t="s">
        <v>75</v>
      </c>
      <c r="C67" s="1"/>
      <c r="D67" s="2"/>
      <c r="E67" s="2"/>
      <c r="F67" s="2"/>
      <c r="G67" s="2"/>
      <c r="H67" s="2"/>
      <c r="I67" s="2"/>
    </row>
    <row r="68" spans="1:9" ht="13.5" thickBot="1" x14ac:dyDescent="0.25">
      <c r="A68" s="10">
        <v>59</v>
      </c>
      <c r="B68" s="10" t="s">
        <v>76</v>
      </c>
      <c r="C68" s="1"/>
      <c r="D68" s="2"/>
      <c r="E68" s="2"/>
      <c r="F68" s="2"/>
      <c r="G68" s="2"/>
      <c r="H68" s="2"/>
      <c r="I68" s="2"/>
    </row>
    <row r="69" spans="1:9" ht="13.5" thickBot="1" x14ac:dyDescent="0.25">
      <c r="A69" s="8">
        <v>60</v>
      </c>
      <c r="B69" s="10" t="s">
        <v>77</v>
      </c>
      <c r="C69" s="1"/>
      <c r="D69" s="2"/>
      <c r="E69" s="2"/>
      <c r="F69" s="2"/>
      <c r="G69" s="2"/>
      <c r="H69" s="2"/>
      <c r="I69" s="2"/>
    </row>
    <row r="70" spans="1:9" ht="13.5" thickBot="1" x14ac:dyDescent="0.25">
      <c r="A70" s="10">
        <v>61</v>
      </c>
      <c r="B70" s="8" t="s">
        <v>78</v>
      </c>
      <c r="C70" s="1"/>
      <c r="D70" s="2"/>
      <c r="E70" s="2"/>
      <c r="F70" s="2"/>
      <c r="G70" s="2"/>
      <c r="H70" s="2"/>
      <c r="I70" s="2"/>
    </row>
    <row r="71" spans="1:9" ht="13.5" thickBot="1" x14ac:dyDescent="0.25">
      <c r="A71" s="8">
        <v>62</v>
      </c>
      <c r="B71" s="10" t="s">
        <v>79</v>
      </c>
      <c r="C71" s="1"/>
      <c r="D71" s="2"/>
      <c r="E71" s="2"/>
      <c r="F71" s="2"/>
      <c r="G71" s="2"/>
      <c r="H71" s="2"/>
      <c r="I71" s="2"/>
    </row>
    <row r="72" spans="1:9" ht="13.5" thickBot="1" x14ac:dyDescent="0.25">
      <c r="A72" s="10">
        <v>63</v>
      </c>
      <c r="B72" s="10" t="s">
        <v>80</v>
      </c>
      <c r="C72" s="1"/>
      <c r="D72" s="2"/>
      <c r="E72" s="2"/>
      <c r="F72" s="2"/>
      <c r="G72" s="2"/>
      <c r="H72" s="2"/>
      <c r="I72" s="2"/>
    </row>
    <row r="73" spans="1:9" ht="13.5" thickBot="1" x14ac:dyDescent="0.25">
      <c r="A73" s="8">
        <v>64</v>
      </c>
      <c r="B73" s="10" t="s">
        <v>81</v>
      </c>
      <c r="C73" s="1"/>
      <c r="D73" s="2"/>
      <c r="E73" s="2"/>
      <c r="F73" s="2"/>
      <c r="G73" s="2"/>
      <c r="H73" s="2"/>
      <c r="I73" s="2"/>
    </row>
    <row r="74" spans="1:9" ht="13.5" thickBot="1" x14ac:dyDescent="0.25">
      <c r="A74" s="10">
        <v>65</v>
      </c>
      <c r="B74" s="8" t="s">
        <v>82</v>
      </c>
      <c r="C74" s="1"/>
      <c r="D74" s="2"/>
      <c r="E74" s="2"/>
      <c r="F74" s="2"/>
      <c r="G74" s="2"/>
      <c r="H74" s="2"/>
      <c r="I74" s="2"/>
    </row>
    <row r="75" spans="1:9" ht="15.75" customHeight="1" thickBot="1" x14ac:dyDescent="0.25">
      <c r="A75" s="8">
        <v>66</v>
      </c>
      <c r="B75" s="8" t="s">
        <v>83</v>
      </c>
      <c r="C75" s="1"/>
      <c r="D75" s="2"/>
      <c r="E75" s="2"/>
      <c r="F75" s="2"/>
      <c r="G75" s="2"/>
      <c r="H75" s="2"/>
      <c r="I75" s="2"/>
    </row>
    <row r="76" spans="1:9" ht="13.5" thickBot="1" x14ac:dyDescent="0.25">
      <c r="A76" s="10">
        <v>67</v>
      </c>
      <c r="B76" s="8" t="s">
        <v>84</v>
      </c>
      <c r="C76" s="1"/>
      <c r="D76" s="2"/>
      <c r="E76" s="2"/>
      <c r="F76" s="2"/>
      <c r="G76" s="2"/>
      <c r="H76" s="2"/>
      <c r="I76" s="2"/>
    </row>
    <row r="77" spans="1:9" ht="13.5" thickBot="1" x14ac:dyDescent="0.25">
      <c r="A77" s="9"/>
      <c r="B77" s="9" t="s">
        <v>121</v>
      </c>
      <c r="C77" s="6">
        <f t="shared" ref="C77:I77" si="7">SUM(C78:C95)</f>
        <v>0</v>
      </c>
      <c r="D77" s="6">
        <f t="shared" si="7"/>
        <v>0</v>
      </c>
      <c r="E77" s="6">
        <f t="shared" si="7"/>
        <v>0</v>
      </c>
      <c r="F77" s="6">
        <f t="shared" si="7"/>
        <v>0</v>
      </c>
      <c r="G77" s="6">
        <f t="shared" si="7"/>
        <v>0</v>
      </c>
      <c r="H77" s="6">
        <f t="shared" si="7"/>
        <v>0</v>
      </c>
      <c r="I77" s="6">
        <f t="shared" si="7"/>
        <v>0</v>
      </c>
    </row>
    <row r="78" spans="1:9" ht="13.5" thickBot="1" x14ac:dyDescent="0.25">
      <c r="A78" s="8">
        <v>68</v>
      </c>
      <c r="B78" s="8" t="s">
        <v>85</v>
      </c>
      <c r="C78" s="1"/>
      <c r="D78" s="1"/>
      <c r="E78" s="1"/>
      <c r="F78" s="2"/>
      <c r="G78" s="2"/>
      <c r="H78" s="2"/>
      <c r="I78" s="2"/>
    </row>
    <row r="79" spans="1:9" ht="13.5" thickBot="1" x14ac:dyDescent="0.25">
      <c r="A79" s="8">
        <v>69</v>
      </c>
      <c r="B79" s="8" t="s">
        <v>86</v>
      </c>
      <c r="C79" s="1"/>
      <c r="D79" s="2"/>
      <c r="E79" s="2"/>
      <c r="F79" s="2"/>
      <c r="G79" s="2"/>
      <c r="H79" s="2"/>
      <c r="I79" s="2"/>
    </row>
    <row r="80" spans="1:9" ht="13.5" thickBot="1" x14ac:dyDescent="0.25">
      <c r="A80" s="8">
        <v>70</v>
      </c>
      <c r="B80" s="8" t="s">
        <v>87</v>
      </c>
      <c r="C80" s="1"/>
      <c r="D80" s="2"/>
      <c r="E80" s="2"/>
      <c r="F80" s="2"/>
      <c r="G80" s="2"/>
      <c r="H80" s="2"/>
      <c r="I80" s="2"/>
    </row>
    <row r="81" spans="1:9" ht="13.5" thickBot="1" x14ac:dyDescent="0.25">
      <c r="A81" s="8">
        <v>71</v>
      </c>
      <c r="B81" s="8" t="s">
        <v>88</v>
      </c>
      <c r="C81" s="1"/>
      <c r="D81" s="2"/>
      <c r="E81" s="2"/>
      <c r="F81" s="2"/>
      <c r="G81" s="2"/>
      <c r="H81" s="2"/>
      <c r="I81" s="2"/>
    </row>
    <row r="82" spans="1:9" ht="13.5" thickBot="1" x14ac:dyDescent="0.25">
      <c r="A82" s="8">
        <v>72</v>
      </c>
      <c r="B82" s="8" t="s">
        <v>89</v>
      </c>
      <c r="C82" s="1"/>
      <c r="D82" s="2"/>
      <c r="E82" s="2"/>
      <c r="F82" s="2"/>
      <c r="G82" s="2"/>
      <c r="H82" s="2"/>
      <c r="I82" s="2"/>
    </row>
    <row r="83" spans="1:9" ht="13.5" thickBot="1" x14ac:dyDescent="0.25">
      <c r="A83" s="8">
        <v>73</v>
      </c>
      <c r="B83" s="8" t="s">
        <v>90</v>
      </c>
      <c r="C83" s="1"/>
      <c r="D83" s="2"/>
      <c r="E83" s="2"/>
      <c r="F83" s="2"/>
      <c r="G83" s="2"/>
      <c r="H83" s="2"/>
      <c r="I83" s="2"/>
    </row>
    <row r="84" spans="1:9" ht="13.5" thickBot="1" x14ac:dyDescent="0.25">
      <c r="A84" s="8">
        <v>74</v>
      </c>
      <c r="B84" s="8" t="s">
        <v>91</v>
      </c>
      <c r="C84" s="1"/>
      <c r="D84" s="2"/>
      <c r="E84" s="2"/>
      <c r="F84" s="2"/>
      <c r="G84" s="2"/>
      <c r="H84" s="2"/>
      <c r="I84" s="2"/>
    </row>
    <row r="85" spans="1:9" ht="13.5" thickBot="1" x14ac:dyDescent="0.25">
      <c r="A85" s="8">
        <v>75</v>
      </c>
      <c r="B85" s="10" t="s">
        <v>92</v>
      </c>
      <c r="C85" s="1"/>
      <c r="D85" s="2"/>
      <c r="E85" s="2"/>
      <c r="F85" s="2"/>
      <c r="G85" s="2"/>
      <c r="H85" s="2"/>
      <c r="I85" s="2"/>
    </row>
    <row r="86" spans="1:9" ht="13.5" thickBot="1" x14ac:dyDescent="0.25">
      <c r="A86" s="8">
        <v>76</v>
      </c>
      <c r="B86" s="8" t="s">
        <v>93</v>
      </c>
      <c r="C86" s="1"/>
      <c r="D86" s="2"/>
      <c r="E86" s="2"/>
      <c r="F86" s="2"/>
      <c r="G86" s="2"/>
      <c r="H86" s="2"/>
      <c r="I86" s="2"/>
    </row>
    <row r="87" spans="1:9" ht="13.5" thickBot="1" x14ac:dyDescent="0.25">
      <c r="A87" s="8">
        <v>77</v>
      </c>
      <c r="B87" s="8" t="s">
        <v>94</v>
      </c>
      <c r="C87" s="1"/>
      <c r="D87" s="2"/>
      <c r="E87" s="2"/>
      <c r="F87" s="2"/>
      <c r="G87" s="2"/>
      <c r="H87" s="2"/>
      <c r="I87" s="2"/>
    </row>
    <row r="88" spans="1:9" ht="13.5" thickBot="1" x14ac:dyDescent="0.25">
      <c r="A88" s="8">
        <v>78</v>
      </c>
      <c r="B88" s="8" t="s">
        <v>95</v>
      </c>
      <c r="C88" s="1"/>
      <c r="D88" s="2"/>
      <c r="E88" s="2"/>
      <c r="F88" s="2"/>
      <c r="G88" s="2"/>
      <c r="H88" s="2"/>
      <c r="I88" s="2"/>
    </row>
    <row r="89" spans="1:9" ht="13.5" thickBot="1" x14ac:dyDescent="0.25">
      <c r="A89" s="8">
        <v>79</v>
      </c>
      <c r="B89" s="8" t="s">
        <v>96</v>
      </c>
      <c r="C89" s="1"/>
      <c r="D89" s="2"/>
      <c r="E89" s="2"/>
      <c r="F89" s="2"/>
      <c r="G89" s="2"/>
      <c r="H89" s="2"/>
      <c r="I89" s="2"/>
    </row>
    <row r="90" spans="1:9" ht="13.5" thickBot="1" x14ac:dyDescent="0.25">
      <c r="A90" s="8">
        <v>80</v>
      </c>
      <c r="B90" s="8" t="s">
        <v>97</v>
      </c>
      <c r="C90" s="1"/>
      <c r="D90" s="2"/>
      <c r="E90" s="2"/>
      <c r="F90" s="2"/>
      <c r="G90" s="2"/>
      <c r="H90" s="2"/>
      <c r="I90" s="2"/>
    </row>
    <row r="91" spans="1:9" ht="13.5" thickBot="1" x14ac:dyDescent="0.25">
      <c r="A91" s="8">
        <v>81</v>
      </c>
      <c r="B91" s="8" t="s">
        <v>98</v>
      </c>
      <c r="C91" s="1"/>
      <c r="D91" s="2"/>
      <c r="E91" s="2"/>
      <c r="F91" s="2"/>
      <c r="G91" s="2"/>
      <c r="H91" s="2"/>
      <c r="I91" s="2"/>
    </row>
    <row r="92" spans="1:9" ht="13.5" thickBot="1" x14ac:dyDescent="0.25">
      <c r="A92" s="8">
        <v>82</v>
      </c>
      <c r="B92" s="8" t="s">
        <v>99</v>
      </c>
      <c r="C92" s="1"/>
      <c r="D92" s="2"/>
      <c r="E92" s="2"/>
      <c r="F92" s="2"/>
      <c r="G92" s="2"/>
      <c r="H92" s="2"/>
      <c r="I92" s="2"/>
    </row>
    <row r="93" spans="1:9" ht="13.5" thickBot="1" x14ac:dyDescent="0.25">
      <c r="A93" s="8">
        <v>83</v>
      </c>
      <c r="B93" s="8" t="s">
        <v>100</v>
      </c>
      <c r="C93" s="1"/>
      <c r="D93" s="2"/>
      <c r="E93" s="2"/>
      <c r="F93" s="2"/>
      <c r="G93" s="2"/>
      <c r="H93" s="2"/>
      <c r="I93" s="2"/>
    </row>
    <row r="94" spans="1:9" ht="13.5" thickBot="1" x14ac:dyDescent="0.25">
      <c r="A94" s="8">
        <v>84</v>
      </c>
      <c r="B94" s="8" t="s">
        <v>101</v>
      </c>
      <c r="C94" s="1"/>
      <c r="D94" s="2"/>
      <c r="E94" s="2"/>
      <c r="F94" s="2"/>
      <c r="G94" s="2"/>
      <c r="H94" s="2"/>
      <c r="I94" s="2"/>
    </row>
    <row r="95" spans="1:9" ht="13.5" thickBot="1" x14ac:dyDescent="0.25">
      <c r="A95" s="8">
        <v>85</v>
      </c>
      <c r="B95" s="10" t="s">
        <v>102</v>
      </c>
      <c r="C95" s="1"/>
      <c r="D95" s="2"/>
      <c r="E95" s="2"/>
      <c r="F95" s="2"/>
      <c r="G95" s="2"/>
      <c r="H95" s="2"/>
      <c r="I95" s="2"/>
    </row>
    <row r="96" spans="1:9" ht="13.5" thickBot="1" x14ac:dyDescent="0.25">
      <c r="A96" s="142"/>
      <c r="B96" s="146"/>
      <c r="C96" s="143">
        <f ca="1">SUM(C96:C100)</f>
        <v>0</v>
      </c>
      <c r="D96" s="143">
        <f t="shared" ref="D96:I96" ca="1" si="8">SUM(D96:D100)</f>
        <v>0</v>
      </c>
      <c r="E96" s="143">
        <f t="shared" ca="1" si="8"/>
        <v>0</v>
      </c>
      <c r="F96" s="143">
        <f t="shared" ca="1" si="8"/>
        <v>0</v>
      </c>
      <c r="G96" s="143">
        <f t="shared" ca="1" si="8"/>
        <v>0</v>
      </c>
      <c r="H96" s="143">
        <f t="shared" ca="1" si="8"/>
        <v>0</v>
      </c>
      <c r="I96" s="143">
        <f t="shared" ca="1" si="8"/>
        <v>0</v>
      </c>
    </row>
    <row r="97" spans="1:9" ht="13.5" thickBot="1" x14ac:dyDescent="0.25">
      <c r="A97" s="8">
        <v>86</v>
      </c>
      <c r="B97" s="10" t="s">
        <v>497</v>
      </c>
      <c r="C97" s="1"/>
      <c r="D97" s="2"/>
      <c r="E97" s="2"/>
      <c r="F97" s="2"/>
      <c r="G97" s="2"/>
      <c r="H97" s="2"/>
      <c r="I97" s="2"/>
    </row>
    <row r="98" spans="1:9" ht="13.5" thickBot="1" x14ac:dyDescent="0.25">
      <c r="A98" s="8">
        <v>87</v>
      </c>
      <c r="B98" s="10" t="s">
        <v>498</v>
      </c>
      <c r="C98" s="1"/>
      <c r="D98" s="145"/>
      <c r="E98" s="2"/>
      <c r="F98" s="2"/>
      <c r="G98" s="2"/>
      <c r="H98" s="2"/>
      <c r="I98" s="2"/>
    </row>
    <row r="99" spans="1:9" ht="13.5" thickBot="1" x14ac:dyDescent="0.25">
      <c r="A99" s="8">
        <v>88</v>
      </c>
      <c r="B99" s="10" t="s">
        <v>499</v>
      </c>
      <c r="C99" s="1"/>
      <c r="D99" s="2"/>
      <c r="E99" s="2"/>
      <c r="F99" s="2"/>
      <c r="G99" s="2"/>
      <c r="H99" s="2"/>
      <c r="I99" s="2"/>
    </row>
    <row r="100" spans="1:9" ht="13.5" thickBot="1" x14ac:dyDescent="0.25">
      <c r="A100" s="8">
        <v>89</v>
      </c>
      <c r="B100" s="10" t="s">
        <v>500</v>
      </c>
      <c r="C100" s="1"/>
      <c r="D100" s="2"/>
      <c r="E100" s="2"/>
      <c r="F100" s="2"/>
      <c r="G100" s="2"/>
      <c r="H100" s="2"/>
      <c r="I100" s="2"/>
    </row>
    <row r="101" spans="1:9" ht="24" customHeight="1" thickBot="1" x14ac:dyDescent="0.25">
      <c r="A101" s="63"/>
      <c r="B101" s="142" t="s">
        <v>246</v>
      </c>
      <c r="C101" s="64">
        <v>0</v>
      </c>
      <c r="D101" s="64">
        <v>0</v>
      </c>
      <c r="E101" s="64">
        <f t="shared" ref="E101:I101" si="9">E3+E15+E26+E33+E48+E57+E65+E77</f>
        <v>0</v>
      </c>
      <c r="F101" s="64">
        <f t="shared" si="9"/>
        <v>0</v>
      </c>
      <c r="G101" s="64">
        <f t="shared" si="9"/>
        <v>0</v>
      </c>
      <c r="H101" s="64">
        <f t="shared" si="9"/>
        <v>0</v>
      </c>
      <c r="I101" s="64">
        <f t="shared" si="9"/>
        <v>0</v>
      </c>
    </row>
    <row r="104" spans="1:9" ht="15.75" customHeight="1" x14ac:dyDescent="0.2">
      <c r="A104" s="147" t="s">
        <v>215</v>
      </c>
      <c r="B104" s="147"/>
    </row>
    <row r="105" spans="1:9" ht="134.25" customHeight="1" x14ac:dyDescent="0.2">
      <c r="A105" s="249"/>
      <c r="B105" s="249"/>
      <c r="C105" s="249"/>
      <c r="D105" s="249"/>
      <c r="E105" s="249"/>
      <c r="F105" s="249"/>
      <c r="G105" s="249"/>
      <c r="H105" s="249"/>
      <c r="I105" s="249"/>
    </row>
    <row r="106" spans="1:9" x14ac:dyDescent="0.2">
      <c r="A106" s="3"/>
      <c r="B106" s="3"/>
    </row>
    <row r="107" spans="1:9" x14ac:dyDescent="0.2">
      <c r="A107" s="3"/>
      <c r="B107" s="3"/>
    </row>
  </sheetData>
  <sheetProtection formatColumns="0" formatRows="0" insertColumns="0" insertRows="0" insertHyperlinks="0" deleteColumns="0" deleteRows="0"/>
  <mergeCells count="8">
    <mergeCell ref="A1:A2"/>
    <mergeCell ref="A105:I105"/>
    <mergeCell ref="I1:I2"/>
    <mergeCell ref="F1:H1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opLeftCell="B1" workbookViewId="0">
      <selection activeCell="L2" sqref="L2"/>
    </sheetView>
  </sheetViews>
  <sheetFormatPr defaultRowHeight="15" x14ac:dyDescent="0.25"/>
  <cols>
    <col min="1" max="1" width="8.140625" style="13" customWidth="1"/>
    <col min="2" max="2" width="30.140625" customWidth="1"/>
    <col min="3" max="12" width="11.7109375" customWidth="1"/>
    <col min="14" max="14" width="0" hidden="1" customWidth="1"/>
    <col min="15" max="15" width="28.28515625" hidden="1" customWidth="1"/>
    <col min="16" max="23" width="11.42578125" hidden="1" customWidth="1"/>
  </cols>
  <sheetData>
    <row r="1" spans="1:23" ht="52.9" customHeight="1" thickBot="1" x14ac:dyDescent="0.3">
      <c r="A1" s="247" t="s">
        <v>496</v>
      </c>
      <c r="B1" s="260" t="s">
        <v>103</v>
      </c>
      <c r="C1" s="256" t="s">
        <v>230</v>
      </c>
      <c r="D1" s="257"/>
      <c r="E1" s="256" t="s">
        <v>231</v>
      </c>
      <c r="F1" s="257"/>
      <c r="G1" s="256" t="s">
        <v>232</v>
      </c>
      <c r="H1" s="257"/>
      <c r="I1" s="256" t="s">
        <v>233</v>
      </c>
      <c r="J1" s="257"/>
      <c r="K1" s="256" t="s">
        <v>234</v>
      </c>
      <c r="L1" s="257"/>
      <c r="M1" s="58"/>
      <c r="N1" s="58" t="s">
        <v>296</v>
      </c>
      <c r="O1" s="258" t="s">
        <v>103</v>
      </c>
      <c r="P1" s="259" t="s">
        <v>292</v>
      </c>
      <c r="Q1" s="255"/>
      <c r="R1" s="254" t="s">
        <v>293</v>
      </c>
      <c r="S1" s="255"/>
      <c r="T1" s="254" t="s">
        <v>294</v>
      </c>
      <c r="U1" s="255"/>
      <c r="V1" s="254" t="s">
        <v>295</v>
      </c>
      <c r="W1" s="255"/>
    </row>
    <row r="2" spans="1:23" ht="31.9" customHeight="1" thickBot="1" x14ac:dyDescent="0.3">
      <c r="A2" s="248"/>
      <c r="B2" s="260"/>
      <c r="C2" s="61" t="s">
        <v>227</v>
      </c>
      <c r="D2" s="182" t="s">
        <v>575</v>
      </c>
      <c r="E2" s="182" t="s">
        <v>227</v>
      </c>
      <c r="F2" s="182" t="s">
        <v>575</v>
      </c>
      <c r="G2" s="182" t="s">
        <v>227</v>
      </c>
      <c r="H2" s="182" t="s">
        <v>575</v>
      </c>
      <c r="I2" s="182" t="s">
        <v>227</v>
      </c>
      <c r="J2" s="182" t="s">
        <v>575</v>
      </c>
      <c r="K2" s="182" t="s">
        <v>227</v>
      </c>
      <c r="L2" s="182" t="s">
        <v>575</v>
      </c>
      <c r="M2" s="58"/>
      <c r="N2" s="58"/>
      <c r="O2" s="258"/>
      <c r="P2" s="50">
        <v>2022</v>
      </c>
      <c r="Q2" s="50">
        <v>2023</v>
      </c>
      <c r="R2" s="50">
        <v>2022</v>
      </c>
      <c r="S2" s="50">
        <v>2023</v>
      </c>
      <c r="T2" s="50">
        <v>2022</v>
      </c>
      <c r="U2" s="50">
        <v>2023</v>
      </c>
      <c r="V2" s="50">
        <v>2022</v>
      </c>
      <c r="W2" s="50">
        <v>2023</v>
      </c>
    </row>
    <row r="3" spans="1:23" ht="15.75" thickBot="1" x14ac:dyDescent="0.3">
      <c r="A3" s="7"/>
      <c r="B3" s="51" t="s">
        <v>113</v>
      </c>
      <c r="C3" s="51">
        <v>37905</v>
      </c>
      <c r="D3" s="52">
        <f t="shared" ref="D3:L3" si="0">SUM(D4:D14)</f>
        <v>0</v>
      </c>
      <c r="E3" s="52">
        <v>608</v>
      </c>
      <c r="F3" s="52">
        <f t="shared" si="0"/>
        <v>0</v>
      </c>
      <c r="G3" s="52">
        <v>549</v>
      </c>
      <c r="H3" s="52">
        <f t="shared" si="0"/>
        <v>0</v>
      </c>
      <c r="I3" s="52">
        <v>1670</v>
      </c>
      <c r="J3" s="52">
        <f t="shared" si="0"/>
        <v>0</v>
      </c>
      <c r="K3" s="52">
        <v>3397540.68</v>
      </c>
      <c r="L3" s="52">
        <f t="shared" si="0"/>
        <v>0</v>
      </c>
      <c r="M3" s="58"/>
      <c r="N3" s="58"/>
      <c r="O3" s="51" t="s">
        <v>113</v>
      </c>
      <c r="P3" s="52">
        <f>SUM(P4:P14)</f>
        <v>41190</v>
      </c>
      <c r="Q3" s="52">
        <f t="shared" ref="Q3:W3" si="1">SUM(Q4:Q14)</f>
        <v>0</v>
      </c>
      <c r="R3" s="52">
        <f t="shared" si="1"/>
        <v>575</v>
      </c>
      <c r="S3" s="52">
        <f t="shared" si="1"/>
        <v>0</v>
      </c>
      <c r="T3" s="52">
        <f t="shared" si="1"/>
        <v>581</v>
      </c>
      <c r="U3" s="52">
        <f t="shared" si="1"/>
        <v>0</v>
      </c>
      <c r="V3" s="52">
        <f t="shared" si="1"/>
        <v>1408</v>
      </c>
      <c r="W3" s="52">
        <f t="shared" si="1"/>
        <v>0</v>
      </c>
    </row>
    <row r="4" spans="1:23" ht="15.75" thickBot="1" x14ac:dyDescent="0.3">
      <c r="A4" s="8">
        <v>1</v>
      </c>
      <c r="B4" s="53" t="s">
        <v>18</v>
      </c>
      <c r="C4" s="158">
        <v>3850</v>
      </c>
      <c r="D4" s="53"/>
      <c r="E4" s="53">
        <v>66</v>
      </c>
      <c r="F4" s="53"/>
      <c r="G4" s="53">
        <v>81</v>
      </c>
      <c r="H4" s="53"/>
      <c r="I4" s="53">
        <v>170</v>
      </c>
      <c r="J4" s="53"/>
      <c r="K4" s="53">
        <v>2398114.6</v>
      </c>
      <c r="L4" s="53"/>
      <c r="M4" s="58"/>
      <c r="N4" s="58"/>
      <c r="O4" s="53" t="s">
        <v>18</v>
      </c>
      <c r="P4" s="53">
        <v>4834</v>
      </c>
      <c r="Q4" s="53"/>
      <c r="R4" s="53">
        <v>62</v>
      </c>
      <c r="S4" s="53"/>
      <c r="T4" s="53">
        <v>89</v>
      </c>
      <c r="U4" s="53"/>
      <c r="V4" s="53">
        <v>92</v>
      </c>
      <c r="W4" s="53"/>
    </row>
    <row r="5" spans="1:23" ht="15.75" thickBot="1" x14ac:dyDescent="0.3">
      <c r="A5" s="8">
        <v>2</v>
      </c>
      <c r="B5" s="53" t="s">
        <v>19</v>
      </c>
      <c r="C5" s="158">
        <v>1837</v>
      </c>
      <c r="D5" s="53"/>
      <c r="E5" s="53">
        <v>69</v>
      </c>
      <c r="F5" s="53"/>
      <c r="G5" s="53">
        <v>80</v>
      </c>
      <c r="H5" s="53"/>
      <c r="I5" s="53">
        <v>254</v>
      </c>
      <c r="J5" s="53"/>
      <c r="K5" s="53">
        <v>76993.05</v>
      </c>
      <c r="L5" s="53"/>
      <c r="M5" s="58"/>
      <c r="N5" s="58"/>
      <c r="O5" s="53" t="s">
        <v>19</v>
      </c>
      <c r="P5" s="53">
        <v>1956</v>
      </c>
      <c r="Q5" s="53"/>
      <c r="R5" s="53">
        <v>68</v>
      </c>
      <c r="S5" s="53"/>
      <c r="T5" s="53">
        <v>81</v>
      </c>
      <c r="U5" s="53"/>
      <c r="V5" s="53">
        <v>213</v>
      </c>
      <c r="W5" s="53"/>
    </row>
    <row r="6" spans="1:23" ht="15.75" thickBot="1" x14ac:dyDescent="0.3">
      <c r="A6" s="8">
        <v>3</v>
      </c>
      <c r="B6" s="53" t="s">
        <v>20</v>
      </c>
      <c r="C6" s="158">
        <v>6885</v>
      </c>
      <c r="D6" s="53"/>
      <c r="E6" s="53">
        <v>92</v>
      </c>
      <c r="F6" s="53"/>
      <c r="G6" s="53">
        <v>52</v>
      </c>
      <c r="H6" s="53"/>
      <c r="I6" s="53">
        <v>211</v>
      </c>
      <c r="J6" s="53"/>
      <c r="K6" s="160">
        <v>202689.68</v>
      </c>
      <c r="L6" s="53"/>
      <c r="M6" s="58"/>
      <c r="N6" s="58"/>
      <c r="O6" s="53" t="s">
        <v>20</v>
      </c>
      <c r="P6" s="53">
        <v>7309</v>
      </c>
      <c r="Q6" s="53"/>
      <c r="R6" s="53">
        <v>79</v>
      </c>
      <c r="S6" s="53"/>
      <c r="T6" s="53">
        <v>53</v>
      </c>
      <c r="U6" s="53"/>
      <c r="V6" s="53">
        <v>131</v>
      </c>
      <c r="W6" s="53"/>
    </row>
    <row r="7" spans="1:23" ht="15.75" thickBot="1" x14ac:dyDescent="0.3">
      <c r="A7" s="8">
        <v>4</v>
      </c>
      <c r="B7" s="53" t="s">
        <v>21</v>
      </c>
      <c r="C7" s="158">
        <v>850</v>
      </c>
      <c r="D7" s="53"/>
      <c r="E7" s="53">
        <v>4</v>
      </c>
      <c r="F7" s="53"/>
      <c r="G7" s="53">
        <v>12</v>
      </c>
      <c r="H7" s="53"/>
      <c r="I7" s="53">
        <v>88</v>
      </c>
      <c r="J7" s="53"/>
      <c r="K7" s="53">
        <v>1679.123</v>
      </c>
      <c r="L7" s="53"/>
      <c r="M7" s="58"/>
      <c r="N7" s="58"/>
      <c r="O7" s="53" t="s">
        <v>21</v>
      </c>
      <c r="P7" s="53">
        <v>1241</v>
      </c>
      <c r="Q7" s="53"/>
      <c r="R7" s="53">
        <v>22</v>
      </c>
      <c r="S7" s="53"/>
      <c r="T7" s="53">
        <v>14</v>
      </c>
      <c r="U7" s="53"/>
      <c r="V7" s="53">
        <v>56</v>
      </c>
      <c r="W7" s="53"/>
    </row>
    <row r="8" spans="1:23" ht="15.75" thickBot="1" x14ac:dyDescent="0.3">
      <c r="A8" s="8">
        <v>5</v>
      </c>
      <c r="B8" s="53" t="s">
        <v>22</v>
      </c>
      <c r="C8" s="158">
        <v>10658</v>
      </c>
      <c r="D8" s="53"/>
      <c r="E8" s="53">
        <v>122</v>
      </c>
      <c r="F8" s="53"/>
      <c r="G8" s="53">
        <v>92</v>
      </c>
      <c r="H8" s="53"/>
      <c r="I8" s="53">
        <v>431</v>
      </c>
      <c r="J8" s="53"/>
      <c r="K8" s="53">
        <v>193155.46</v>
      </c>
      <c r="L8" s="53"/>
      <c r="M8" s="58"/>
      <c r="N8" s="58"/>
      <c r="O8" s="53" t="s">
        <v>22</v>
      </c>
      <c r="P8" s="53">
        <v>12012</v>
      </c>
      <c r="Q8" s="53"/>
      <c r="R8" s="53">
        <v>121</v>
      </c>
      <c r="S8" s="53"/>
      <c r="T8" s="53">
        <v>108</v>
      </c>
      <c r="U8" s="53"/>
      <c r="V8" s="53">
        <v>306</v>
      </c>
      <c r="W8" s="53"/>
    </row>
    <row r="9" spans="1:23" ht="15.75" thickBot="1" x14ac:dyDescent="0.3">
      <c r="A9" s="8">
        <v>6</v>
      </c>
      <c r="B9" s="53" t="s">
        <v>23</v>
      </c>
      <c r="C9" s="158">
        <v>6349</v>
      </c>
      <c r="D9" s="53"/>
      <c r="E9" s="53">
        <v>102</v>
      </c>
      <c r="F9" s="53"/>
      <c r="G9" s="53">
        <v>102</v>
      </c>
      <c r="H9" s="53"/>
      <c r="I9" s="53">
        <v>200</v>
      </c>
      <c r="J9" s="53"/>
      <c r="K9" s="53">
        <v>159289.63</v>
      </c>
      <c r="L9" s="53"/>
      <c r="M9" s="58"/>
      <c r="N9" s="58"/>
      <c r="O9" s="53" t="s">
        <v>23</v>
      </c>
      <c r="P9" s="53">
        <v>6338</v>
      </c>
      <c r="Q9" s="53"/>
      <c r="R9" s="53">
        <v>97</v>
      </c>
      <c r="S9" s="53"/>
      <c r="T9" s="53">
        <v>95</v>
      </c>
      <c r="U9" s="53"/>
      <c r="V9" s="53">
        <v>273</v>
      </c>
      <c r="W9" s="53"/>
    </row>
    <row r="10" spans="1:23" ht="15.75" thickBot="1" x14ac:dyDescent="0.3">
      <c r="A10" s="8">
        <v>7</v>
      </c>
      <c r="B10" s="53" t="s">
        <v>24</v>
      </c>
      <c r="C10" s="158">
        <v>3728</v>
      </c>
      <c r="D10" s="53"/>
      <c r="E10" s="53">
        <v>80</v>
      </c>
      <c r="F10" s="53"/>
      <c r="G10" s="53">
        <v>57</v>
      </c>
      <c r="H10" s="53"/>
      <c r="I10" s="53">
        <v>132</v>
      </c>
      <c r="J10" s="53"/>
      <c r="K10" s="53">
        <v>60868.184000000001</v>
      </c>
      <c r="L10" s="53"/>
      <c r="M10" s="58"/>
      <c r="N10" s="58"/>
      <c r="O10" s="53" t="s">
        <v>24</v>
      </c>
      <c r="P10" s="53">
        <v>3926</v>
      </c>
      <c r="Q10" s="53"/>
      <c r="R10" s="53">
        <v>63</v>
      </c>
      <c r="S10" s="53"/>
      <c r="T10" s="53">
        <v>56</v>
      </c>
      <c r="U10" s="53"/>
      <c r="V10" s="53">
        <v>142</v>
      </c>
      <c r="W10" s="53"/>
    </row>
    <row r="11" spans="1:23" ht="15.75" thickBot="1" x14ac:dyDescent="0.3">
      <c r="A11" s="8">
        <v>8</v>
      </c>
      <c r="B11" s="53" t="s">
        <v>25</v>
      </c>
      <c r="C11" s="158">
        <v>637</v>
      </c>
      <c r="D11" s="53"/>
      <c r="E11" s="53">
        <v>20</v>
      </c>
      <c r="F11" s="53"/>
      <c r="G11" s="53">
        <v>15</v>
      </c>
      <c r="H11" s="53"/>
      <c r="I11" s="53">
        <v>33</v>
      </c>
      <c r="J11" s="53"/>
      <c r="K11" s="53">
        <v>4078.2710000000002</v>
      </c>
      <c r="L11" s="53"/>
      <c r="M11" s="58"/>
      <c r="N11" s="58"/>
      <c r="O11" s="53" t="s">
        <v>25</v>
      </c>
      <c r="P11" s="53">
        <v>680</v>
      </c>
      <c r="Q11" s="53"/>
      <c r="R11" s="53">
        <v>11</v>
      </c>
      <c r="S11" s="53"/>
      <c r="T11" s="53">
        <v>9</v>
      </c>
      <c r="U11" s="53"/>
      <c r="V11" s="53">
        <v>34</v>
      </c>
      <c r="W11" s="53"/>
    </row>
    <row r="12" spans="1:23" ht="15.75" thickBot="1" x14ac:dyDescent="0.3">
      <c r="A12" s="8">
        <v>9</v>
      </c>
      <c r="B12" s="53" t="s">
        <v>26</v>
      </c>
      <c r="C12" s="158">
        <v>1771</v>
      </c>
      <c r="D12" s="53"/>
      <c r="E12" s="53">
        <v>27</v>
      </c>
      <c r="F12" s="53"/>
      <c r="G12" s="53">
        <v>33</v>
      </c>
      <c r="H12" s="53"/>
      <c r="I12" s="53">
        <v>128</v>
      </c>
      <c r="J12" s="53"/>
      <c r="K12" s="53">
        <v>270040.5</v>
      </c>
      <c r="L12" s="53"/>
      <c r="M12" s="58"/>
      <c r="N12" s="58"/>
      <c r="O12" s="53" t="s">
        <v>26</v>
      </c>
      <c r="P12" s="53">
        <v>1726</v>
      </c>
      <c r="Q12" s="53"/>
      <c r="R12" s="53">
        <v>28</v>
      </c>
      <c r="S12" s="53"/>
      <c r="T12" s="53">
        <v>43</v>
      </c>
      <c r="U12" s="53"/>
      <c r="V12" s="53">
        <v>93</v>
      </c>
      <c r="W12" s="53"/>
    </row>
    <row r="13" spans="1:23" ht="15.75" thickBot="1" x14ac:dyDescent="0.3">
      <c r="A13" s="8">
        <v>10</v>
      </c>
      <c r="B13" s="53" t="s">
        <v>27</v>
      </c>
      <c r="C13" s="158">
        <v>1267</v>
      </c>
      <c r="D13" s="53"/>
      <c r="E13" s="53">
        <v>19</v>
      </c>
      <c r="F13" s="53"/>
      <c r="G13" s="53">
        <v>21</v>
      </c>
      <c r="H13" s="53"/>
      <c r="I13" s="53">
        <v>16</v>
      </c>
      <c r="J13" s="53"/>
      <c r="K13" s="53">
        <v>7424.61</v>
      </c>
      <c r="L13" s="53"/>
      <c r="M13" s="58"/>
      <c r="N13" s="58"/>
      <c r="O13" s="53" t="s">
        <v>27</v>
      </c>
      <c r="P13" s="53">
        <v>1065</v>
      </c>
      <c r="Q13" s="53"/>
      <c r="R13" s="53">
        <v>15</v>
      </c>
      <c r="S13" s="53"/>
      <c r="T13" s="53">
        <v>22</v>
      </c>
      <c r="U13" s="53"/>
      <c r="V13" s="53">
        <v>50</v>
      </c>
      <c r="W13" s="53"/>
    </row>
    <row r="14" spans="1:23" ht="15.75" thickBot="1" x14ac:dyDescent="0.3">
      <c r="A14" s="8">
        <v>11</v>
      </c>
      <c r="B14" s="53" t="s">
        <v>28</v>
      </c>
      <c r="C14" s="158">
        <v>73</v>
      </c>
      <c r="D14" s="53"/>
      <c r="E14" s="53">
        <v>7</v>
      </c>
      <c r="F14" s="53"/>
      <c r="G14" s="53">
        <v>4</v>
      </c>
      <c r="H14" s="53"/>
      <c r="I14" s="53">
        <v>7</v>
      </c>
      <c r="J14" s="53"/>
      <c r="K14" s="53">
        <v>23207.572</v>
      </c>
      <c r="L14" s="53"/>
      <c r="M14" s="58"/>
      <c r="N14" s="58"/>
      <c r="O14" s="53" t="s">
        <v>28</v>
      </c>
      <c r="P14" s="53">
        <v>103</v>
      </c>
      <c r="Q14" s="53"/>
      <c r="R14" s="53">
        <v>9</v>
      </c>
      <c r="S14" s="53"/>
      <c r="T14" s="53">
        <v>11</v>
      </c>
      <c r="U14" s="53"/>
      <c r="V14" s="53">
        <v>18</v>
      </c>
      <c r="W14" s="53"/>
    </row>
    <row r="15" spans="1:23" ht="15.75" thickBot="1" x14ac:dyDescent="0.3">
      <c r="A15" s="9"/>
      <c r="B15" s="51" t="s">
        <v>115</v>
      </c>
      <c r="C15" s="51">
        <v>55841</v>
      </c>
      <c r="D15" s="52">
        <f t="shared" ref="D15:L15" si="2">SUM(D16:D25)</f>
        <v>0</v>
      </c>
      <c r="E15" s="52">
        <v>1064</v>
      </c>
      <c r="F15" s="52">
        <f t="shared" si="2"/>
        <v>0</v>
      </c>
      <c r="G15" s="52">
        <v>1296</v>
      </c>
      <c r="H15" s="52">
        <f t="shared" si="2"/>
        <v>0</v>
      </c>
      <c r="I15" s="52">
        <v>4530</v>
      </c>
      <c r="J15" s="52">
        <f t="shared" si="2"/>
        <v>0</v>
      </c>
      <c r="K15" s="52">
        <v>1733389.895</v>
      </c>
      <c r="L15" s="52">
        <f t="shared" si="2"/>
        <v>0</v>
      </c>
      <c r="M15" s="58"/>
      <c r="N15" s="58"/>
      <c r="O15" s="51" t="s">
        <v>115</v>
      </c>
      <c r="P15" s="52">
        <f>SUM(P16:P25)</f>
        <v>65260</v>
      </c>
      <c r="Q15" s="52">
        <f t="shared" ref="Q15:W15" si="3">SUM(Q16:Q25)</f>
        <v>0</v>
      </c>
      <c r="R15" s="52">
        <f t="shared" si="3"/>
        <v>1246</v>
      </c>
      <c r="S15" s="52">
        <f t="shared" si="3"/>
        <v>0</v>
      </c>
      <c r="T15" s="52">
        <f t="shared" si="3"/>
        <v>1325</v>
      </c>
      <c r="U15" s="52">
        <f t="shared" si="3"/>
        <v>0</v>
      </c>
      <c r="V15" s="52">
        <f t="shared" si="3"/>
        <v>5252</v>
      </c>
      <c r="W15" s="52">
        <f t="shared" si="3"/>
        <v>0</v>
      </c>
    </row>
    <row r="16" spans="1:23" ht="15.75" thickBot="1" x14ac:dyDescent="0.3">
      <c r="A16" s="8">
        <v>12</v>
      </c>
      <c r="B16" s="53" t="s">
        <v>29</v>
      </c>
      <c r="C16" s="158">
        <v>439</v>
      </c>
      <c r="D16" s="53"/>
      <c r="E16" s="53">
        <v>15</v>
      </c>
      <c r="F16" s="53"/>
      <c r="G16" s="53">
        <v>8</v>
      </c>
      <c r="H16" s="53"/>
      <c r="I16" s="53">
        <v>8</v>
      </c>
      <c r="J16" s="53"/>
      <c r="K16" s="53">
        <v>3739.2860000000001</v>
      </c>
      <c r="L16" s="53"/>
      <c r="M16" s="58"/>
      <c r="N16" s="58"/>
      <c r="O16" s="53" t="s">
        <v>29</v>
      </c>
      <c r="P16" s="53">
        <v>476</v>
      </c>
      <c r="Q16" s="53"/>
      <c r="R16" s="53">
        <v>14</v>
      </c>
      <c r="S16" s="53"/>
      <c r="T16" s="53">
        <v>14</v>
      </c>
      <c r="U16" s="53"/>
      <c r="V16" s="53">
        <v>47</v>
      </c>
      <c r="W16" s="53"/>
    </row>
    <row r="17" spans="1:23" ht="15.75" thickBot="1" x14ac:dyDescent="0.3">
      <c r="A17" s="8">
        <v>13</v>
      </c>
      <c r="B17" s="53" t="s">
        <v>30</v>
      </c>
      <c r="C17" s="158">
        <v>1137</v>
      </c>
      <c r="D17" s="53"/>
      <c r="E17" s="53">
        <v>17</v>
      </c>
      <c r="F17" s="53"/>
      <c r="G17" s="53">
        <v>38</v>
      </c>
      <c r="H17" s="53"/>
      <c r="I17" s="53">
        <v>10</v>
      </c>
      <c r="J17" s="53"/>
      <c r="K17" s="53">
        <v>2018.019</v>
      </c>
      <c r="L17" s="53"/>
      <c r="M17" s="58"/>
      <c r="N17" s="58"/>
      <c r="O17" s="53" t="s">
        <v>30</v>
      </c>
      <c r="P17" s="53">
        <v>1398</v>
      </c>
      <c r="Q17" s="53"/>
      <c r="R17" s="53">
        <v>19</v>
      </c>
      <c r="S17" s="53"/>
      <c r="T17" s="53">
        <v>49</v>
      </c>
      <c r="U17" s="53"/>
      <c r="V17" s="53">
        <v>58</v>
      </c>
      <c r="W17" s="53"/>
    </row>
    <row r="18" spans="1:23" ht="15.75" thickBot="1" x14ac:dyDescent="0.3">
      <c r="A18" s="8">
        <v>14</v>
      </c>
      <c r="B18" s="53" t="s">
        <v>31</v>
      </c>
      <c r="C18" s="158">
        <v>1725</v>
      </c>
      <c r="D18" s="53"/>
      <c r="E18" s="53">
        <v>37</v>
      </c>
      <c r="F18" s="53"/>
      <c r="G18" s="53">
        <v>29</v>
      </c>
      <c r="H18" s="53"/>
      <c r="I18" s="53">
        <v>203</v>
      </c>
      <c r="J18" s="53"/>
      <c r="K18" s="53">
        <v>21664.655999999999</v>
      </c>
      <c r="L18" s="53"/>
      <c r="M18" s="58"/>
      <c r="N18" s="58"/>
      <c r="O18" s="53" t="s">
        <v>31</v>
      </c>
      <c r="P18" s="53">
        <v>2802</v>
      </c>
      <c r="Q18" s="53"/>
      <c r="R18" s="53">
        <v>41</v>
      </c>
      <c r="S18" s="53"/>
      <c r="T18" s="53">
        <v>32</v>
      </c>
      <c r="U18" s="53"/>
      <c r="V18" s="53">
        <v>97</v>
      </c>
      <c r="W18" s="53"/>
    </row>
    <row r="19" spans="1:23" ht="15.75" thickBot="1" x14ac:dyDescent="0.3">
      <c r="A19" s="8">
        <v>15</v>
      </c>
      <c r="B19" s="54" t="s">
        <v>32</v>
      </c>
      <c r="C19" s="158">
        <v>11418</v>
      </c>
      <c r="D19" s="53"/>
      <c r="E19" s="53">
        <v>167</v>
      </c>
      <c r="F19" s="53"/>
      <c r="G19" s="53">
        <v>138</v>
      </c>
      <c r="H19" s="53"/>
      <c r="I19" s="53">
        <v>377</v>
      </c>
      <c r="J19" s="53"/>
      <c r="K19" s="53">
        <v>32121.142</v>
      </c>
      <c r="L19" s="53"/>
      <c r="M19" s="58"/>
      <c r="N19" s="58"/>
      <c r="O19" s="54" t="s">
        <v>32</v>
      </c>
      <c r="P19" s="53">
        <v>11944</v>
      </c>
      <c r="Q19" s="53"/>
      <c r="R19" s="53">
        <v>169</v>
      </c>
      <c r="S19" s="53"/>
      <c r="T19" s="53">
        <v>130</v>
      </c>
      <c r="U19" s="53"/>
      <c r="V19" s="53">
        <v>632</v>
      </c>
      <c r="W19" s="53"/>
    </row>
    <row r="20" spans="1:23" ht="15.75" thickBot="1" x14ac:dyDescent="0.3">
      <c r="A20" s="8">
        <v>16</v>
      </c>
      <c r="B20" s="53" t="s">
        <v>33</v>
      </c>
      <c r="C20" s="158">
        <v>6869</v>
      </c>
      <c r="D20" s="53"/>
      <c r="E20" s="53">
        <v>175</v>
      </c>
      <c r="F20" s="53"/>
      <c r="G20" s="53">
        <v>209</v>
      </c>
      <c r="H20" s="53"/>
      <c r="I20" s="53">
        <v>1309</v>
      </c>
      <c r="J20" s="53"/>
      <c r="K20" s="53">
        <v>253029.66</v>
      </c>
      <c r="L20" s="53"/>
      <c r="M20" s="58"/>
      <c r="N20" s="58"/>
      <c r="O20" s="53" t="s">
        <v>33</v>
      </c>
      <c r="P20" s="53">
        <v>8634</v>
      </c>
      <c r="Q20" s="53"/>
      <c r="R20" s="53">
        <v>200</v>
      </c>
      <c r="S20" s="53"/>
      <c r="T20" s="53">
        <v>207</v>
      </c>
      <c r="U20" s="53"/>
      <c r="V20" s="53">
        <v>1330</v>
      </c>
      <c r="W20" s="53"/>
    </row>
    <row r="21" spans="1:23" ht="15.75" thickBot="1" x14ac:dyDescent="0.3">
      <c r="A21" s="8">
        <v>17</v>
      </c>
      <c r="B21" s="53" t="s">
        <v>34</v>
      </c>
      <c r="C21" s="158">
        <v>5520</v>
      </c>
      <c r="D21" s="53"/>
      <c r="E21" s="53">
        <v>168</v>
      </c>
      <c r="F21" s="53"/>
      <c r="G21" s="53">
        <v>159</v>
      </c>
      <c r="H21" s="53"/>
      <c r="I21" s="53">
        <v>1073</v>
      </c>
      <c r="J21" s="53"/>
      <c r="K21" s="53">
        <v>556836.4</v>
      </c>
      <c r="L21" s="53"/>
      <c r="M21" s="58"/>
      <c r="N21" s="58"/>
      <c r="O21" s="53" t="s">
        <v>34</v>
      </c>
      <c r="P21" s="53">
        <v>6089</v>
      </c>
      <c r="Q21" s="53"/>
      <c r="R21" s="53">
        <v>200</v>
      </c>
      <c r="S21" s="53"/>
      <c r="T21" s="53">
        <v>206</v>
      </c>
      <c r="U21" s="53"/>
      <c r="V21" s="53">
        <v>913</v>
      </c>
      <c r="W21" s="53"/>
    </row>
    <row r="22" spans="1:23" ht="15.75" thickBot="1" x14ac:dyDescent="0.3">
      <c r="A22" s="8">
        <v>18</v>
      </c>
      <c r="B22" s="53" t="s">
        <v>35</v>
      </c>
      <c r="C22" s="158">
        <v>9514</v>
      </c>
      <c r="D22" s="53"/>
      <c r="E22" s="53">
        <v>168</v>
      </c>
      <c r="F22" s="53"/>
      <c r="G22" s="53">
        <v>193</v>
      </c>
      <c r="H22" s="53"/>
      <c r="I22" s="53">
        <v>581</v>
      </c>
      <c r="J22" s="53"/>
      <c r="K22" s="53">
        <v>550465</v>
      </c>
      <c r="L22" s="53"/>
      <c r="M22" s="58"/>
      <c r="N22" s="58"/>
      <c r="O22" s="53" t="s">
        <v>35</v>
      </c>
      <c r="P22" s="53">
        <v>10692</v>
      </c>
      <c r="Q22" s="53"/>
      <c r="R22" s="53">
        <v>215</v>
      </c>
      <c r="S22" s="53"/>
      <c r="T22" s="53">
        <v>182</v>
      </c>
      <c r="U22" s="53"/>
      <c r="V22" s="53">
        <v>644</v>
      </c>
      <c r="W22" s="53"/>
    </row>
    <row r="23" spans="1:23" ht="15.75" thickBot="1" x14ac:dyDescent="0.3">
      <c r="A23" s="8">
        <v>19</v>
      </c>
      <c r="B23" s="53" t="s">
        <v>36</v>
      </c>
      <c r="C23" s="158">
        <v>10166</v>
      </c>
      <c r="D23" s="53"/>
      <c r="E23" s="53">
        <v>146</v>
      </c>
      <c r="F23" s="53"/>
      <c r="G23" s="53">
        <v>303</v>
      </c>
      <c r="H23" s="53"/>
      <c r="I23" s="53">
        <v>431</v>
      </c>
      <c r="J23" s="53"/>
      <c r="K23" s="53">
        <v>55238.336000000003</v>
      </c>
      <c r="L23" s="53"/>
      <c r="M23" s="58"/>
      <c r="N23" s="58"/>
      <c r="O23" s="53" t="s">
        <v>36</v>
      </c>
      <c r="P23" s="53">
        <v>13180</v>
      </c>
      <c r="Q23" s="53"/>
      <c r="R23" s="53">
        <v>190</v>
      </c>
      <c r="S23" s="53"/>
      <c r="T23" s="53">
        <v>290</v>
      </c>
      <c r="U23" s="53"/>
      <c r="V23" s="53">
        <v>529</v>
      </c>
      <c r="W23" s="53"/>
    </row>
    <row r="24" spans="1:23" ht="15.75" thickBot="1" x14ac:dyDescent="0.3">
      <c r="A24" s="8">
        <v>20</v>
      </c>
      <c r="B24" s="53" t="s">
        <v>37</v>
      </c>
      <c r="C24" s="158">
        <v>6825</v>
      </c>
      <c r="D24" s="53"/>
      <c r="E24" s="53">
        <v>116</v>
      </c>
      <c r="F24" s="53"/>
      <c r="G24" s="53">
        <v>148</v>
      </c>
      <c r="H24" s="53"/>
      <c r="I24" s="53">
        <v>317</v>
      </c>
      <c r="J24" s="53"/>
      <c r="K24" s="53">
        <v>210605.04</v>
      </c>
      <c r="L24" s="53"/>
      <c r="M24" s="58"/>
      <c r="N24" s="58"/>
      <c r="O24" s="53" t="s">
        <v>37</v>
      </c>
      <c r="P24" s="53">
        <v>7341</v>
      </c>
      <c r="Q24" s="53"/>
      <c r="R24" s="53">
        <v>134</v>
      </c>
      <c r="S24" s="53"/>
      <c r="T24" s="53">
        <v>153</v>
      </c>
      <c r="U24" s="53"/>
      <c r="V24" s="53">
        <v>666</v>
      </c>
      <c r="W24" s="53"/>
    </row>
    <row r="25" spans="1:23" ht="15.75" thickBot="1" x14ac:dyDescent="0.3">
      <c r="A25" s="8">
        <v>21</v>
      </c>
      <c r="B25" s="53" t="s">
        <v>38</v>
      </c>
      <c r="C25" s="158">
        <v>2228</v>
      </c>
      <c r="D25" s="53"/>
      <c r="E25" s="53">
        <v>55</v>
      </c>
      <c r="F25" s="53"/>
      <c r="G25" s="53">
        <v>71</v>
      </c>
      <c r="H25" s="53"/>
      <c r="I25" s="53">
        <v>221</v>
      </c>
      <c r="J25" s="53"/>
      <c r="K25" s="53">
        <v>47672.356</v>
      </c>
      <c r="L25" s="53"/>
      <c r="M25" s="58"/>
      <c r="N25" s="58"/>
      <c r="O25" s="53" t="s">
        <v>38</v>
      </c>
      <c r="P25" s="53">
        <v>2704</v>
      </c>
      <c r="Q25" s="53"/>
      <c r="R25" s="53">
        <v>64</v>
      </c>
      <c r="S25" s="53"/>
      <c r="T25" s="53">
        <v>62</v>
      </c>
      <c r="U25" s="53"/>
      <c r="V25" s="53">
        <v>336</v>
      </c>
      <c r="W25" s="53"/>
    </row>
    <row r="26" spans="1:23" ht="15.75" thickBot="1" x14ac:dyDescent="0.3">
      <c r="A26" s="9"/>
      <c r="B26" s="51" t="s">
        <v>116</v>
      </c>
      <c r="C26" s="51">
        <v>29593</v>
      </c>
      <c r="D26" s="52">
        <f t="shared" ref="D26:L26" si="4">SUM(D27:D32)</f>
        <v>0</v>
      </c>
      <c r="E26" s="52">
        <v>685</v>
      </c>
      <c r="F26" s="52">
        <f t="shared" si="4"/>
        <v>0</v>
      </c>
      <c r="G26" s="52">
        <v>798</v>
      </c>
      <c r="H26" s="52">
        <f t="shared" si="4"/>
        <v>0</v>
      </c>
      <c r="I26" s="52">
        <v>2766</v>
      </c>
      <c r="J26" s="52">
        <f t="shared" si="4"/>
        <v>0</v>
      </c>
      <c r="K26" s="52">
        <v>2508970.878</v>
      </c>
      <c r="L26" s="52">
        <f t="shared" si="4"/>
        <v>0</v>
      </c>
      <c r="M26" s="58"/>
      <c r="N26" s="58"/>
      <c r="O26" s="51" t="s">
        <v>116</v>
      </c>
      <c r="P26" s="52">
        <f>SUM(P27:P32)</f>
        <v>29068</v>
      </c>
      <c r="Q26" s="52">
        <f t="shared" ref="Q26:W26" si="5">SUM(Q27:Q32)</f>
        <v>0</v>
      </c>
      <c r="R26" s="52">
        <f t="shared" si="5"/>
        <v>704</v>
      </c>
      <c r="S26" s="52">
        <f t="shared" si="5"/>
        <v>0</v>
      </c>
      <c r="T26" s="52">
        <f t="shared" si="5"/>
        <v>790</v>
      </c>
      <c r="U26" s="52">
        <f t="shared" si="5"/>
        <v>0</v>
      </c>
      <c r="V26" s="52">
        <f t="shared" si="5"/>
        <v>2291</v>
      </c>
      <c r="W26" s="52">
        <f t="shared" si="5"/>
        <v>0</v>
      </c>
    </row>
    <row r="27" spans="1:23" ht="15.75" thickBot="1" x14ac:dyDescent="0.3">
      <c r="A27" s="8">
        <v>22</v>
      </c>
      <c r="B27" s="53" t="s">
        <v>39</v>
      </c>
      <c r="C27" s="158">
        <v>2959</v>
      </c>
      <c r="D27" s="53"/>
      <c r="E27" s="53">
        <v>89</v>
      </c>
      <c r="F27" s="53"/>
      <c r="G27" s="53">
        <v>72</v>
      </c>
      <c r="H27" s="53"/>
      <c r="I27" s="53">
        <v>749</v>
      </c>
      <c r="J27" s="53"/>
      <c r="K27" s="53">
        <v>157734.01999999999</v>
      </c>
      <c r="L27" s="53"/>
      <c r="M27" s="58"/>
      <c r="N27" s="58"/>
      <c r="O27" s="53" t="s">
        <v>39</v>
      </c>
      <c r="P27" s="53">
        <v>3202</v>
      </c>
      <c r="Q27" s="53"/>
      <c r="R27" s="53">
        <v>76</v>
      </c>
      <c r="S27" s="53"/>
      <c r="T27" s="53">
        <v>80</v>
      </c>
      <c r="U27" s="53"/>
      <c r="V27" s="53">
        <v>320</v>
      </c>
      <c r="W27" s="53"/>
    </row>
    <row r="28" spans="1:23" ht="15.75" thickBot="1" x14ac:dyDescent="0.3">
      <c r="A28" s="8">
        <v>23</v>
      </c>
      <c r="B28" s="53" t="s">
        <v>40</v>
      </c>
      <c r="C28" s="158">
        <v>8483</v>
      </c>
      <c r="D28" s="53"/>
      <c r="E28" s="53">
        <v>240</v>
      </c>
      <c r="F28" s="53"/>
      <c r="G28" s="53">
        <v>269</v>
      </c>
      <c r="H28" s="53"/>
      <c r="I28" s="53">
        <v>1237</v>
      </c>
      <c r="J28" s="53"/>
      <c r="K28" s="53">
        <v>1815149.8</v>
      </c>
      <c r="L28" s="53"/>
      <c r="M28" s="58"/>
      <c r="N28" s="58"/>
      <c r="O28" s="53" t="s">
        <v>40</v>
      </c>
      <c r="P28" s="53">
        <v>8356</v>
      </c>
      <c r="Q28" s="53"/>
      <c r="R28" s="53">
        <v>250</v>
      </c>
      <c r="S28" s="53"/>
      <c r="T28" s="53">
        <v>232</v>
      </c>
      <c r="U28" s="53"/>
      <c r="V28" s="53">
        <v>1120</v>
      </c>
      <c r="W28" s="53"/>
    </row>
    <row r="29" spans="1:23" ht="15.75" thickBot="1" x14ac:dyDescent="0.3">
      <c r="A29" s="8">
        <v>24</v>
      </c>
      <c r="B29" s="53" t="s">
        <v>41</v>
      </c>
      <c r="C29" s="158">
        <v>4766</v>
      </c>
      <c r="D29" s="53"/>
      <c r="E29" s="53">
        <v>107</v>
      </c>
      <c r="F29" s="53"/>
      <c r="G29" s="53">
        <v>134</v>
      </c>
      <c r="H29" s="53"/>
      <c r="I29" s="53">
        <v>215</v>
      </c>
      <c r="J29" s="53"/>
      <c r="K29" s="53">
        <v>113672.33</v>
      </c>
      <c r="L29" s="53"/>
      <c r="M29" s="58"/>
      <c r="N29" s="58"/>
      <c r="O29" s="53" t="s">
        <v>41</v>
      </c>
      <c r="P29" s="53">
        <v>4944</v>
      </c>
      <c r="Q29" s="53"/>
      <c r="R29" s="53">
        <v>112</v>
      </c>
      <c r="S29" s="53"/>
      <c r="T29" s="53">
        <v>136</v>
      </c>
      <c r="U29" s="53"/>
      <c r="V29" s="53">
        <v>211</v>
      </c>
      <c r="W29" s="53"/>
    </row>
    <row r="30" spans="1:23" ht="15.75" thickBot="1" x14ac:dyDescent="0.3">
      <c r="A30" s="8">
        <v>25</v>
      </c>
      <c r="B30" s="53" t="s">
        <v>42</v>
      </c>
      <c r="C30" s="158">
        <v>10270</v>
      </c>
      <c r="D30" s="53"/>
      <c r="E30" s="53">
        <v>170</v>
      </c>
      <c r="F30" s="53"/>
      <c r="G30" s="53">
        <v>186</v>
      </c>
      <c r="H30" s="53"/>
      <c r="I30" s="53">
        <v>261</v>
      </c>
      <c r="J30" s="53"/>
      <c r="K30" s="53">
        <v>5699.058</v>
      </c>
      <c r="L30" s="53"/>
      <c r="M30" s="58"/>
      <c r="N30" s="58"/>
      <c r="O30" s="53" t="s">
        <v>42</v>
      </c>
      <c r="P30" s="53">
        <v>9326</v>
      </c>
      <c r="Q30" s="53"/>
      <c r="R30" s="53">
        <v>175</v>
      </c>
      <c r="S30" s="53"/>
      <c r="T30" s="53">
        <v>203</v>
      </c>
      <c r="U30" s="53"/>
      <c r="V30" s="53">
        <v>277</v>
      </c>
      <c r="W30" s="53"/>
    </row>
    <row r="31" spans="1:23" ht="26.25" thickBot="1" x14ac:dyDescent="0.3">
      <c r="A31" s="8">
        <v>26</v>
      </c>
      <c r="B31" s="53" t="s">
        <v>43</v>
      </c>
      <c r="C31" s="158">
        <v>2252</v>
      </c>
      <c r="D31" s="53"/>
      <c r="E31" s="53">
        <v>53</v>
      </c>
      <c r="F31" s="53"/>
      <c r="G31" s="53">
        <v>87</v>
      </c>
      <c r="H31" s="53"/>
      <c r="I31" s="53">
        <v>193</v>
      </c>
      <c r="J31" s="53"/>
      <c r="K31" s="53">
        <v>149992.1</v>
      </c>
      <c r="L31" s="53"/>
      <c r="M31" s="58"/>
      <c r="N31" s="58"/>
      <c r="O31" s="53" t="s">
        <v>43</v>
      </c>
      <c r="P31" s="53">
        <v>2339</v>
      </c>
      <c r="Q31" s="53"/>
      <c r="R31" s="53">
        <v>53</v>
      </c>
      <c r="S31" s="53"/>
      <c r="T31" s="53">
        <v>91</v>
      </c>
      <c r="U31" s="53"/>
      <c r="V31" s="53">
        <v>179</v>
      </c>
      <c r="W31" s="53"/>
    </row>
    <row r="32" spans="1:23" ht="26.25" thickBot="1" x14ac:dyDescent="0.3">
      <c r="A32" s="8">
        <v>27</v>
      </c>
      <c r="B32" s="53" t="s">
        <v>44</v>
      </c>
      <c r="C32" s="158">
        <v>863</v>
      </c>
      <c r="D32" s="53"/>
      <c r="E32" s="53">
        <v>26</v>
      </c>
      <c r="F32" s="53"/>
      <c r="G32" s="53">
        <v>50</v>
      </c>
      <c r="H32" s="53"/>
      <c r="I32" s="53">
        <v>111</v>
      </c>
      <c r="J32" s="53"/>
      <c r="K32" s="53">
        <v>266723.57</v>
      </c>
      <c r="L32" s="53"/>
      <c r="M32" s="58"/>
      <c r="N32" s="58"/>
      <c r="O32" s="53" t="s">
        <v>44</v>
      </c>
      <c r="P32" s="53">
        <v>901</v>
      </c>
      <c r="Q32" s="53"/>
      <c r="R32" s="53">
        <v>38</v>
      </c>
      <c r="S32" s="53"/>
      <c r="T32" s="53">
        <v>48</v>
      </c>
      <c r="U32" s="53"/>
      <c r="V32" s="53">
        <v>184</v>
      </c>
      <c r="W32" s="53"/>
    </row>
    <row r="33" spans="1:23" ht="15.75" thickBot="1" x14ac:dyDescent="0.3">
      <c r="A33" s="7"/>
      <c r="B33" s="51" t="s">
        <v>117</v>
      </c>
      <c r="C33" s="51">
        <v>62828</v>
      </c>
      <c r="D33" s="52">
        <f t="shared" ref="D33:L33" si="6">SUM(D34:D47)</f>
        <v>0</v>
      </c>
      <c r="E33" s="52">
        <v>1624</v>
      </c>
      <c r="F33" s="52">
        <f t="shared" si="6"/>
        <v>0</v>
      </c>
      <c r="G33" s="52">
        <v>1890</v>
      </c>
      <c r="H33" s="52">
        <f t="shared" si="6"/>
        <v>0</v>
      </c>
      <c r="I33" s="52">
        <v>5031</v>
      </c>
      <c r="J33" s="52">
        <f t="shared" si="6"/>
        <v>0</v>
      </c>
      <c r="K33" s="52">
        <v>4501998.79</v>
      </c>
      <c r="L33" s="52">
        <f t="shared" si="6"/>
        <v>0</v>
      </c>
      <c r="M33" s="58"/>
      <c r="N33" s="58"/>
      <c r="O33" s="51" t="s">
        <v>117</v>
      </c>
      <c r="P33" s="52">
        <f>SUM(P34:P47)</f>
        <v>54885</v>
      </c>
      <c r="Q33" s="52">
        <f t="shared" ref="Q33:W33" si="7">SUM(Q34:Q47)</f>
        <v>0</v>
      </c>
      <c r="R33" s="52">
        <f t="shared" si="7"/>
        <v>1616</v>
      </c>
      <c r="S33" s="52">
        <f t="shared" si="7"/>
        <v>0</v>
      </c>
      <c r="T33" s="52">
        <f t="shared" si="7"/>
        <v>1833</v>
      </c>
      <c r="U33" s="52">
        <f t="shared" si="7"/>
        <v>0</v>
      </c>
      <c r="V33" s="52">
        <f t="shared" si="7"/>
        <v>5164</v>
      </c>
      <c r="W33" s="52">
        <f t="shared" si="7"/>
        <v>0</v>
      </c>
    </row>
    <row r="34" spans="1:23" ht="15.75" thickBot="1" x14ac:dyDescent="0.3">
      <c r="A34" s="10">
        <v>28</v>
      </c>
      <c r="B34" s="54" t="s">
        <v>45</v>
      </c>
      <c r="C34" s="158">
        <v>10661</v>
      </c>
      <c r="D34" s="53"/>
      <c r="E34" s="53">
        <v>238</v>
      </c>
      <c r="F34" s="53"/>
      <c r="G34" s="53">
        <v>233</v>
      </c>
      <c r="H34" s="53"/>
      <c r="I34" s="53">
        <v>1187</v>
      </c>
      <c r="J34" s="53"/>
      <c r="K34" s="53">
        <v>780173.4</v>
      </c>
      <c r="L34" s="53"/>
      <c r="M34" s="58"/>
      <c r="N34" s="58"/>
      <c r="O34" s="54" t="s">
        <v>45</v>
      </c>
      <c r="P34" s="53">
        <v>10879</v>
      </c>
      <c r="Q34" s="53"/>
      <c r="R34" s="53">
        <v>233</v>
      </c>
      <c r="S34" s="53"/>
      <c r="T34" s="53">
        <v>267</v>
      </c>
      <c r="U34" s="53"/>
      <c r="V34" s="53">
        <v>1206</v>
      </c>
      <c r="W34" s="53"/>
    </row>
    <row r="35" spans="1:23" ht="15.75" thickBot="1" x14ac:dyDescent="0.3">
      <c r="A35" s="10">
        <v>29</v>
      </c>
      <c r="B35" s="54" t="s">
        <v>46</v>
      </c>
      <c r="C35" s="158">
        <v>1170</v>
      </c>
      <c r="D35" s="53"/>
      <c r="E35" s="53">
        <v>45</v>
      </c>
      <c r="F35" s="53"/>
      <c r="G35" s="53">
        <v>38</v>
      </c>
      <c r="H35" s="53"/>
      <c r="I35" s="53">
        <v>88</v>
      </c>
      <c r="J35" s="53"/>
      <c r="K35" s="53">
        <v>200584.32000000001</v>
      </c>
      <c r="L35" s="53"/>
      <c r="M35" s="58"/>
      <c r="N35" s="58"/>
      <c r="O35" s="54" t="s">
        <v>46</v>
      </c>
      <c r="P35" s="53">
        <v>996</v>
      </c>
      <c r="Q35" s="53"/>
      <c r="R35" s="53">
        <v>39</v>
      </c>
      <c r="S35" s="53"/>
      <c r="T35" s="53">
        <v>36</v>
      </c>
      <c r="U35" s="53"/>
      <c r="V35" s="53">
        <v>126</v>
      </c>
      <c r="W35" s="53"/>
    </row>
    <row r="36" spans="1:23" ht="15.75" thickBot="1" x14ac:dyDescent="0.3">
      <c r="A36" s="10">
        <v>30</v>
      </c>
      <c r="B36" s="54" t="s">
        <v>47</v>
      </c>
      <c r="C36" s="158">
        <v>2341</v>
      </c>
      <c r="D36" s="53"/>
      <c r="E36" s="53">
        <v>49</v>
      </c>
      <c r="F36" s="53"/>
      <c r="G36" s="53">
        <v>46</v>
      </c>
      <c r="H36" s="53"/>
      <c r="I36" s="53">
        <v>86</v>
      </c>
      <c r="J36" s="53"/>
      <c r="K36" s="53">
        <v>324961.2</v>
      </c>
      <c r="L36" s="53"/>
      <c r="M36" s="58"/>
      <c r="N36" s="58"/>
      <c r="O36" s="54" t="s">
        <v>47</v>
      </c>
      <c r="P36" s="53">
        <v>1878</v>
      </c>
      <c r="Q36" s="53"/>
      <c r="R36" s="53">
        <v>41</v>
      </c>
      <c r="S36" s="53"/>
      <c r="T36" s="53">
        <v>30</v>
      </c>
      <c r="U36" s="53"/>
      <c r="V36" s="53">
        <v>62</v>
      </c>
      <c r="W36" s="53"/>
    </row>
    <row r="37" spans="1:23" ht="15.75" thickBot="1" x14ac:dyDescent="0.3">
      <c r="A37" s="10">
        <v>31</v>
      </c>
      <c r="B37" s="54" t="s">
        <v>48</v>
      </c>
      <c r="C37" s="158">
        <v>4968</v>
      </c>
      <c r="D37" s="53"/>
      <c r="E37" s="53">
        <v>143</v>
      </c>
      <c r="F37" s="53"/>
      <c r="G37" s="53">
        <v>205</v>
      </c>
      <c r="H37" s="53"/>
      <c r="I37" s="53">
        <v>412</v>
      </c>
      <c r="J37" s="53"/>
      <c r="K37" s="53">
        <v>518781.38</v>
      </c>
      <c r="L37" s="53"/>
      <c r="M37" s="58"/>
      <c r="N37" s="58"/>
      <c r="O37" s="54" t="s">
        <v>48</v>
      </c>
      <c r="P37" s="53">
        <v>4992</v>
      </c>
      <c r="Q37" s="53"/>
      <c r="R37" s="53">
        <v>126</v>
      </c>
      <c r="S37" s="53"/>
      <c r="T37" s="53">
        <v>187</v>
      </c>
      <c r="U37" s="53"/>
      <c r="V37" s="53">
        <v>331</v>
      </c>
      <c r="W37" s="53"/>
    </row>
    <row r="38" spans="1:23" ht="15.75" thickBot="1" x14ac:dyDescent="0.3">
      <c r="A38" s="10">
        <v>32</v>
      </c>
      <c r="B38" s="54" t="s">
        <v>49</v>
      </c>
      <c r="C38" s="158">
        <v>2028</v>
      </c>
      <c r="D38" s="53"/>
      <c r="E38" s="53">
        <v>77</v>
      </c>
      <c r="F38" s="53"/>
      <c r="G38" s="53">
        <v>137</v>
      </c>
      <c r="H38" s="53"/>
      <c r="I38" s="53">
        <v>123</v>
      </c>
      <c r="J38" s="53"/>
      <c r="K38" s="53">
        <v>34898.892</v>
      </c>
      <c r="L38" s="53"/>
      <c r="M38" s="58"/>
      <c r="N38" s="58"/>
      <c r="O38" s="54" t="s">
        <v>49</v>
      </c>
      <c r="P38" s="53">
        <v>1652</v>
      </c>
      <c r="Q38" s="53"/>
      <c r="R38" s="53">
        <v>98</v>
      </c>
      <c r="S38" s="53"/>
      <c r="T38" s="53">
        <v>112</v>
      </c>
      <c r="U38" s="53"/>
      <c r="V38" s="53">
        <v>149</v>
      </c>
      <c r="W38" s="53"/>
    </row>
    <row r="39" spans="1:23" ht="15.75" thickBot="1" x14ac:dyDescent="0.3">
      <c r="A39" s="10">
        <v>33</v>
      </c>
      <c r="B39" s="148" t="s">
        <v>503</v>
      </c>
      <c r="C39" s="158">
        <v>1517</v>
      </c>
      <c r="D39" s="53"/>
      <c r="E39" s="53">
        <v>68</v>
      </c>
      <c r="F39" s="53"/>
      <c r="G39" s="53">
        <v>99</v>
      </c>
      <c r="H39" s="53"/>
      <c r="I39" s="53">
        <v>223</v>
      </c>
      <c r="J39" s="53"/>
      <c r="K39" s="53">
        <v>235014.43</v>
      </c>
      <c r="L39" s="53"/>
      <c r="M39" s="58"/>
      <c r="N39" s="58"/>
      <c r="O39" s="54" t="s">
        <v>50</v>
      </c>
      <c r="P39" s="53">
        <v>1507</v>
      </c>
      <c r="Q39" s="53"/>
      <c r="R39" s="53">
        <v>71</v>
      </c>
      <c r="S39" s="53"/>
      <c r="T39" s="53">
        <v>88</v>
      </c>
      <c r="U39" s="53"/>
      <c r="V39" s="53">
        <v>182</v>
      </c>
      <c r="W39" s="53"/>
    </row>
    <row r="40" spans="1:23" ht="15.75" thickBot="1" x14ac:dyDescent="0.3">
      <c r="A40" s="10">
        <v>34</v>
      </c>
      <c r="B40" s="54" t="s">
        <v>51</v>
      </c>
      <c r="C40" s="158">
        <v>4946</v>
      </c>
      <c r="D40" s="53"/>
      <c r="E40" s="53">
        <v>196</v>
      </c>
      <c r="F40" s="53"/>
      <c r="G40" s="53">
        <v>228</v>
      </c>
      <c r="H40" s="53"/>
      <c r="I40" s="53">
        <v>645</v>
      </c>
      <c r="J40" s="53"/>
      <c r="K40" s="53">
        <v>33799.224000000002</v>
      </c>
      <c r="L40" s="53"/>
      <c r="M40" s="58"/>
      <c r="N40" s="58"/>
      <c r="O40" s="54" t="s">
        <v>51</v>
      </c>
      <c r="P40" s="53">
        <v>4095</v>
      </c>
      <c r="Q40" s="53"/>
      <c r="R40" s="53">
        <v>199</v>
      </c>
      <c r="S40" s="53"/>
      <c r="T40" s="53">
        <v>228</v>
      </c>
      <c r="U40" s="53"/>
      <c r="V40" s="53">
        <v>724</v>
      </c>
      <c r="W40" s="53"/>
    </row>
    <row r="41" spans="1:23" ht="15.75" thickBot="1" x14ac:dyDescent="0.3">
      <c r="A41" s="10">
        <v>35</v>
      </c>
      <c r="B41" s="54" t="s">
        <v>52</v>
      </c>
      <c r="C41" s="158">
        <v>2268</v>
      </c>
      <c r="D41" s="53"/>
      <c r="E41" s="53">
        <v>128</v>
      </c>
      <c r="F41" s="53"/>
      <c r="G41" s="53">
        <v>126</v>
      </c>
      <c r="H41" s="53"/>
      <c r="I41" s="53">
        <v>474</v>
      </c>
      <c r="J41" s="53"/>
      <c r="K41" s="53">
        <v>73587.224000000002</v>
      </c>
      <c r="L41" s="53"/>
      <c r="M41" s="58"/>
      <c r="N41" s="58"/>
      <c r="O41" s="54" t="s">
        <v>52</v>
      </c>
      <c r="P41" s="53">
        <v>2040</v>
      </c>
      <c r="Q41" s="53"/>
      <c r="R41" s="53">
        <v>133</v>
      </c>
      <c r="S41" s="53"/>
      <c r="T41" s="53">
        <v>116</v>
      </c>
      <c r="U41" s="53"/>
      <c r="V41" s="53">
        <v>537</v>
      </c>
      <c r="W41" s="53"/>
    </row>
    <row r="42" spans="1:23" ht="15.75" thickBot="1" x14ac:dyDescent="0.3">
      <c r="A42" s="10">
        <v>36</v>
      </c>
      <c r="B42" s="54" t="s">
        <v>53</v>
      </c>
      <c r="C42" s="158">
        <v>4325</v>
      </c>
      <c r="D42" s="53"/>
      <c r="E42" s="53">
        <v>172</v>
      </c>
      <c r="F42" s="53"/>
      <c r="G42" s="53">
        <v>198</v>
      </c>
      <c r="H42" s="53"/>
      <c r="I42" s="53">
        <v>494</v>
      </c>
      <c r="J42" s="53"/>
      <c r="K42" s="53">
        <v>1255502.2</v>
      </c>
      <c r="L42" s="53"/>
      <c r="M42" s="58"/>
      <c r="N42" s="58"/>
      <c r="O42" s="54" t="s">
        <v>53</v>
      </c>
      <c r="P42" s="53">
        <v>4128</v>
      </c>
      <c r="Q42" s="53"/>
      <c r="R42" s="53">
        <v>156</v>
      </c>
      <c r="S42" s="53"/>
      <c r="T42" s="53">
        <v>201</v>
      </c>
      <c r="U42" s="53"/>
      <c r="V42" s="53">
        <v>668</v>
      </c>
      <c r="W42" s="53"/>
    </row>
    <row r="43" spans="1:23" ht="15.75" thickBot="1" x14ac:dyDescent="0.3">
      <c r="A43" s="10">
        <v>37</v>
      </c>
      <c r="B43" s="54" t="s">
        <v>54</v>
      </c>
      <c r="C43" s="158">
        <v>6478</v>
      </c>
      <c r="D43" s="53"/>
      <c r="E43" s="53">
        <v>103</v>
      </c>
      <c r="F43" s="53"/>
      <c r="G43" s="53">
        <v>117</v>
      </c>
      <c r="H43" s="53"/>
      <c r="I43" s="53">
        <v>386</v>
      </c>
      <c r="J43" s="53"/>
      <c r="K43" s="53">
        <v>200250.62</v>
      </c>
      <c r="L43" s="53"/>
      <c r="M43" s="58"/>
      <c r="N43" s="58"/>
      <c r="O43" s="54" t="s">
        <v>54</v>
      </c>
      <c r="P43" s="53">
        <v>5908</v>
      </c>
      <c r="Q43" s="53"/>
      <c r="R43" s="53">
        <v>110</v>
      </c>
      <c r="S43" s="53"/>
      <c r="T43" s="53">
        <v>111</v>
      </c>
      <c r="U43" s="53"/>
      <c r="V43" s="53">
        <v>376</v>
      </c>
      <c r="W43" s="53"/>
    </row>
    <row r="44" spans="1:23" ht="15.75" thickBot="1" x14ac:dyDescent="0.3">
      <c r="A44" s="10">
        <v>38</v>
      </c>
      <c r="B44" s="54" t="s">
        <v>55</v>
      </c>
      <c r="C44" s="158">
        <v>2589</v>
      </c>
      <c r="D44" s="53"/>
      <c r="E44" s="53">
        <v>69</v>
      </c>
      <c r="F44" s="53"/>
      <c r="G44" s="53">
        <v>54</v>
      </c>
      <c r="H44" s="53"/>
      <c r="I44" s="53">
        <v>87</v>
      </c>
      <c r="J44" s="53"/>
      <c r="K44" s="53">
        <v>293094.09999999998</v>
      </c>
      <c r="L44" s="53"/>
      <c r="M44" s="58"/>
      <c r="N44" s="58"/>
      <c r="O44" s="54" t="s">
        <v>55</v>
      </c>
      <c r="P44" s="53">
        <v>2362</v>
      </c>
      <c r="Q44" s="53"/>
      <c r="R44" s="53">
        <v>90</v>
      </c>
      <c r="S44" s="53"/>
      <c r="T44" s="53">
        <v>62</v>
      </c>
      <c r="U44" s="53"/>
      <c r="V44" s="53">
        <v>137</v>
      </c>
      <c r="W44" s="53"/>
    </row>
    <row r="45" spans="1:23" ht="15.75" thickBot="1" x14ac:dyDescent="0.3">
      <c r="A45" s="10">
        <v>39</v>
      </c>
      <c r="B45" s="54" t="s">
        <v>56</v>
      </c>
      <c r="C45" s="158">
        <v>8175</v>
      </c>
      <c r="D45" s="53"/>
      <c r="E45" s="53">
        <v>125</v>
      </c>
      <c r="F45" s="53"/>
      <c r="G45" s="53">
        <v>158</v>
      </c>
      <c r="H45" s="53"/>
      <c r="I45" s="53">
        <v>310</v>
      </c>
      <c r="J45" s="53"/>
      <c r="K45" s="53">
        <v>294577</v>
      </c>
      <c r="L45" s="53"/>
      <c r="M45" s="58"/>
      <c r="N45" s="58"/>
      <c r="O45" s="54" t="s">
        <v>56</v>
      </c>
      <c r="P45" s="53">
        <v>5926</v>
      </c>
      <c r="Q45" s="53"/>
      <c r="R45" s="53">
        <v>109</v>
      </c>
      <c r="S45" s="53"/>
      <c r="T45" s="53">
        <v>169</v>
      </c>
      <c r="U45" s="53"/>
      <c r="V45" s="53">
        <v>170</v>
      </c>
      <c r="W45" s="53"/>
    </row>
    <row r="46" spans="1:23" ht="15.75" thickBot="1" x14ac:dyDescent="0.3">
      <c r="A46" s="10">
        <v>40</v>
      </c>
      <c r="B46" s="54" t="s">
        <v>57</v>
      </c>
      <c r="C46" s="158">
        <v>6724</v>
      </c>
      <c r="D46" s="53"/>
      <c r="E46" s="53">
        <v>143</v>
      </c>
      <c r="F46" s="53"/>
      <c r="G46" s="53">
        <v>164</v>
      </c>
      <c r="H46" s="53"/>
      <c r="I46" s="53">
        <v>363</v>
      </c>
      <c r="J46" s="53"/>
      <c r="K46" s="53">
        <v>112931.31</v>
      </c>
      <c r="L46" s="53"/>
      <c r="M46" s="58"/>
      <c r="N46" s="58"/>
      <c r="O46" s="54" t="s">
        <v>57</v>
      </c>
      <c r="P46" s="53">
        <v>5453</v>
      </c>
      <c r="Q46" s="53"/>
      <c r="R46" s="53">
        <v>141</v>
      </c>
      <c r="S46" s="53"/>
      <c r="T46" s="53">
        <v>163</v>
      </c>
      <c r="U46" s="53"/>
      <c r="V46" s="53">
        <v>237</v>
      </c>
      <c r="W46" s="53"/>
    </row>
    <row r="47" spans="1:23" ht="15.75" thickBot="1" x14ac:dyDescent="0.3">
      <c r="A47" s="10">
        <v>41</v>
      </c>
      <c r="B47" s="54" t="s">
        <v>58</v>
      </c>
      <c r="C47" s="158">
        <v>4636</v>
      </c>
      <c r="D47" s="53"/>
      <c r="E47" s="53">
        <v>68</v>
      </c>
      <c r="F47" s="53"/>
      <c r="G47" s="53">
        <v>87</v>
      </c>
      <c r="H47" s="53"/>
      <c r="I47" s="53">
        <v>153</v>
      </c>
      <c r="J47" s="53"/>
      <c r="K47" s="53">
        <v>143843.49</v>
      </c>
      <c r="L47" s="53"/>
      <c r="M47" s="58"/>
      <c r="N47" s="58"/>
      <c r="O47" s="54" t="s">
        <v>58</v>
      </c>
      <c r="P47" s="53">
        <v>3069</v>
      </c>
      <c r="Q47" s="53"/>
      <c r="R47" s="53">
        <v>70</v>
      </c>
      <c r="S47" s="53"/>
      <c r="T47" s="53">
        <v>63</v>
      </c>
      <c r="U47" s="53"/>
      <c r="V47" s="53">
        <v>259</v>
      </c>
      <c r="W47" s="53"/>
    </row>
    <row r="48" spans="1:23" ht="15.75" thickBot="1" x14ac:dyDescent="0.3">
      <c r="A48" s="7"/>
      <c r="B48" s="51" t="s">
        <v>118</v>
      </c>
      <c r="C48" s="52">
        <v>34585</v>
      </c>
      <c r="D48" s="52">
        <f t="shared" ref="D48:L48" si="8">SUM(D49:D56)</f>
        <v>0</v>
      </c>
      <c r="E48" s="52">
        <v>676</v>
      </c>
      <c r="F48" s="52">
        <f t="shared" si="8"/>
        <v>0</v>
      </c>
      <c r="G48" s="52">
        <v>602</v>
      </c>
      <c r="H48" s="52">
        <f t="shared" si="8"/>
        <v>0</v>
      </c>
      <c r="I48" s="52">
        <v>5049</v>
      </c>
      <c r="J48" s="52">
        <f t="shared" si="8"/>
        <v>0</v>
      </c>
      <c r="K48" s="52">
        <v>1222317.9650000001</v>
      </c>
      <c r="L48" s="52">
        <f t="shared" si="8"/>
        <v>0</v>
      </c>
      <c r="M48" s="58"/>
      <c r="N48" s="58"/>
      <c r="O48" s="51" t="s">
        <v>118</v>
      </c>
      <c r="P48" s="52">
        <f>SUM(P49:P56)</f>
        <v>36598</v>
      </c>
      <c r="Q48" s="52">
        <f t="shared" ref="Q48:W48" si="9">SUM(Q49:Q56)</f>
        <v>0</v>
      </c>
      <c r="R48" s="52">
        <f t="shared" si="9"/>
        <v>663</v>
      </c>
      <c r="S48" s="52">
        <f t="shared" si="9"/>
        <v>0</v>
      </c>
      <c r="T48" s="52">
        <f t="shared" si="9"/>
        <v>591</v>
      </c>
      <c r="U48" s="52">
        <f t="shared" si="9"/>
        <v>0</v>
      </c>
      <c r="V48" s="52">
        <f t="shared" si="9"/>
        <v>5913</v>
      </c>
      <c r="W48" s="52">
        <f t="shared" si="9"/>
        <v>0</v>
      </c>
    </row>
    <row r="49" spans="1:23" ht="15.75" thickBot="1" x14ac:dyDescent="0.3">
      <c r="A49" s="8">
        <v>42</v>
      </c>
      <c r="B49" s="53" t="s">
        <v>59</v>
      </c>
      <c r="C49" s="158">
        <v>1912</v>
      </c>
      <c r="D49" s="53"/>
      <c r="E49" s="53">
        <v>16</v>
      </c>
      <c r="F49" s="53"/>
      <c r="G49" s="53">
        <v>4</v>
      </c>
      <c r="H49" s="53"/>
      <c r="I49" s="53">
        <v>91</v>
      </c>
      <c r="J49" s="53"/>
      <c r="K49" s="53">
        <v>52521.599999999999</v>
      </c>
      <c r="L49" s="53"/>
      <c r="M49" s="58"/>
      <c r="N49" s="58"/>
      <c r="O49" s="53" t="s">
        <v>59</v>
      </c>
      <c r="P49" s="53">
        <v>1244</v>
      </c>
      <c r="Q49" s="53"/>
      <c r="R49" s="53">
        <v>17</v>
      </c>
      <c r="S49" s="53"/>
      <c r="T49" s="53">
        <v>4</v>
      </c>
      <c r="U49" s="53"/>
      <c r="V49" s="53">
        <v>94</v>
      </c>
      <c r="W49" s="53"/>
    </row>
    <row r="50" spans="1:23" ht="15.75" thickBot="1" x14ac:dyDescent="0.3">
      <c r="A50" s="8">
        <v>43</v>
      </c>
      <c r="B50" s="53" t="s">
        <v>60</v>
      </c>
      <c r="C50" s="158">
        <v>1655</v>
      </c>
      <c r="D50" s="53"/>
      <c r="E50" s="53">
        <v>9</v>
      </c>
      <c r="F50" s="53"/>
      <c r="G50" s="53">
        <v>12</v>
      </c>
      <c r="H50" s="53"/>
      <c r="I50" s="53">
        <v>99</v>
      </c>
      <c r="J50" s="53"/>
      <c r="K50" s="53">
        <v>2295.9</v>
      </c>
      <c r="L50" s="53"/>
      <c r="M50" s="58"/>
      <c r="N50" s="58"/>
      <c r="O50" s="53" t="s">
        <v>60</v>
      </c>
      <c r="P50" s="53">
        <v>1669</v>
      </c>
      <c r="Q50" s="53"/>
      <c r="R50" s="53">
        <v>8</v>
      </c>
      <c r="S50" s="53"/>
      <c r="T50" s="53">
        <v>12</v>
      </c>
      <c r="U50" s="53"/>
      <c r="V50" s="53">
        <v>98</v>
      </c>
      <c r="W50" s="53"/>
    </row>
    <row r="51" spans="1:23" ht="15.75" thickBot="1" x14ac:dyDescent="0.3">
      <c r="A51" s="8">
        <v>44</v>
      </c>
      <c r="B51" s="54" t="s">
        <v>61</v>
      </c>
      <c r="C51" s="158">
        <v>3577</v>
      </c>
      <c r="D51" s="53"/>
      <c r="E51" s="53">
        <v>54</v>
      </c>
      <c r="F51" s="53"/>
      <c r="G51" s="53">
        <v>48</v>
      </c>
      <c r="H51" s="53"/>
      <c r="I51" s="53">
        <v>101</v>
      </c>
      <c r="J51" s="53"/>
      <c r="K51" s="53">
        <v>173308.21</v>
      </c>
      <c r="L51" s="53"/>
      <c r="M51" s="58"/>
      <c r="N51" s="58"/>
      <c r="O51" s="54" t="s">
        <v>61</v>
      </c>
      <c r="P51" s="53">
        <v>2910</v>
      </c>
      <c r="Q51" s="53"/>
      <c r="R51" s="53">
        <v>74</v>
      </c>
      <c r="S51" s="53"/>
      <c r="T51" s="53">
        <v>48</v>
      </c>
      <c r="U51" s="53"/>
      <c r="V51" s="53">
        <v>90</v>
      </c>
      <c r="W51" s="53"/>
    </row>
    <row r="52" spans="1:23" ht="15.75" thickBot="1" x14ac:dyDescent="0.3">
      <c r="A52" s="8">
        <v>45</v>
      </c>
      <c r="B52" s="53" t="s">
        <v>62</v>
      </c>
      <c r="C52" s="158">
        <v>10082</v>
      </c>
      <c r="D52" s="53"/>
      <c r="E52" s="53">
        <v>197</v>
      </c>
      <c r="F52" s="53"/>
      <c r="G52" s="53">
        <v>172</v>
      </c>
      <c r="H52" s="53"/>
      <c r="I52" s="53">
        <v>397</v>
      </c>
      <c r="J52" s="53"/>
      <c r="K52" s="53">
        <v>262573.52</v>
      </c>
      <c r="L52" s="53"/>
      <c r="M52" s="58"/>
      <c r="N52" s="58"/>
      <c r="O52" s="53" t="s">
        <v>62</v>
      </c>
      <c r="P52" s="53">
        <v>9576</v>
      </c>
      <c r="Q52" s="53"/>
      <c r="R52" s="53">
        <v>199</v>
      </c>
      <c r="S52" s="53"/>
      <c r="T52" s="53">
        <v>154</v>
      </c>
      <c r="U52" s="53"/>
      <c r="V52" s="53">
        <v>518</v>
      </c>
      <c r="W52" s="53"/>
    </row>
    <row r="53" spans="1:23" ht="15.75" thickBot="1" x14ac:dyDescent="0.3">
      <c r="A53" s="8">
        <v>46</v>
      </c>
      <c r="B53" s="53" t="s">
        <v>63</v>
      </c>
      <c r="C53" s="158">
        <v>4649</v>
      </c>
      <c r="D53" s="53"/>
      <c r="E53" s="53">
        <v>50</v>
      </c>
      <c r="F53" s="53"/>
      <c r="G53" s="53">
        <v>35</v>
      </c>
      <c r="H53" s="53"/>
      <c r="I53" s="53">
        <v>3420</v>
      </c>
      <c r="J53" s="53"/>
      <c r="K53" s="53">
        <v>30752.522000000001</v>
      </c>
      <c r="L53" s="53"/>
      <c r="M53" s="58"/>
      <c r="N53" s="58"/>
      <c r="O53" s="53" t="s">
        <v>63</v>
      </c>
      <c r="P53" s="53">
        <v>4862</v>
      </c>
      <c r="Q53" s="53"/>
      <c r="R53" s="53">
        <v>41</v>
      </c>
      <c r="S53" s="53"/>
      <c r="T53" s="53">
        <v>35</v>
      </c>
      <c r="U53" s="53"/>
      <c r="V53" s="53">
        <v>3617</v>
      </c>
      <c r="W53" s="53"/>
    </row>
    <row r="54" spans="1:23" ht="15.75" thickBot="1" x14ac:dyDescent="0.3">
      <c r="A54" s="8">
        <v>47</v>
      </c>
      <c r="B54" s="53" t="s">
        <v>64</v>
      </c>
      <c r="C54" s="158">
        <v>5765</v>
      </c>
      <c r="D54" s="53"/>
      <c r="E54" s="53">
        <v>130</v>
      </c>
      <c r="F54" s="53"/>
      <c r="G54" s="53">
        <v>94</v>
      </c>
      <c r="H54" s="53"/>
      <c r="I54" s="53">
        <v>178</v>
      </c>
      <c r="J54" s="53"/>
      <c r="K54" s="53">
        <v>17539.155999999999</v>
      </c>
      <c r="L54" s="53"/>
      <c r="M54" s="58"/>
      <c r="N54" s="58"/>
      <c r="O54" s="53" t="s">
        <v>64</v>
      </c>
      <c r="P54" s="53">
        <v>6392</v>
      </c>
      <c r="Q54" s="53"/>
      <c r="R54" s="53">
        <v>109</v>
      </c>
      <c r="S54" s="53"/>
      <c r="T54" s="53">
        <v>103</v>
      </c>
      <c r="U54" s="53"/>
      <c r="V54" s="53">
        <v>392</v>
      </c>
      <c r="W54" s="53"/>
    </row>
    <row r="55" spans="1:23" ht="15.75" thickBot="1" x14ac:dyDescent="0.3">
      <c r="A55" s="8">
        <v>48</v>
      </c>
      <c r="B55" s="53" t="s">
        <v>65</v>
      </c>
      <c r="C55" s="158">
        <v>6109</v>
      </c>
      <c r="D55" s="53"/>
      <c r="E55" s="53">
        <v>196</v>
      </c>
      <c r="F55" s="53"/>
      <c r="G55" s="53">
        <v>222</v>
      </c>
      <c r="H55" s="53"/>
      <c r="I55" s="53">
        <v>688</v>
      </c>
      <c r="J55" s="53"/>
      <c r="K55" s="53">
        <v>667244.69999999995</v>
      </c>
      <c r="L55" s="53"/>
      <c r="M55" s="58"/>
      <c r="N55" s="58"/>
      <c r="O55" s="53" t="s">
        <v>65</v>
      </c>
      <c r="P55" s="53">
        <v>9043</v>
      </c>
      <c r="Q55" s="53"/>
      <c r="R55" s="53">
        <v>201</v>
      </c>
      <c r="S55" s="53"/>
      <c r="T55" s="53">
        <v>222</v>
      </c>
      <c r="U55" s="53"/>
      <c r="V55" s="53">
        <v>1036</v>
      </c>
      <c r="W55" s="53"/>
    </row>
    <row r="56" spans="1:23" ht="15.75" thickBot="1" x14ac:dyDescent="0.3">
      <c r="A56" s="8">
        <v>49</v>
      </c>
      <c r="B56" s="54" t="s">
        <v>66</v>
      </c>
      <c r="C56" s="158">
        <v>836</v>
      </c>
      <c r="D56" s="53"/>
      <c r="E56" s="53">
        <v>24</v>
      </c>
      <c r="F56" s="53"/>
      <c r="G56" s="53">
        <v>15</v>
      </c>
      <c r="H56" s="53"/>
      <c r="I56" s="53">
        <v>75</v>
      </c>
      <c r="J56" s="53"/>
      <c r="K56" s="53">
        <v>16082.357</v>
      </c>
      <c r="L56" s="53"/>
      <c r="M56" s="58"/>
      <c r="N56" s="58"/>
      <c r="O56" s="54" t="s">
        <v>66</v>
      </c>
      <c r="P56" s="53">
        <v>902</v>
      </c>
      <c r="Q56" s="53"/>
      <c r="R56" s="53">
        <v>14</v>
      </c>
      <c r="S56" s="53"/>
      <c r="T56" s="53">
        <v>13</v>
      </c>
      <c r="U56" s="53"/>
      <c r="V56" s="53">
        <v>68</v>
      </c>
      <c r="W56" s="53"/>
    </row>
    <row r="57" spans="1:23" ht="15.75" thickBot="1" x14ac:dyDescent="0.3">
      <c r="A57" s="7"/>
      <c r="B57" s="51" t="s">
        <v>119</v>
      </c>
      <c r="C57" s="52">
        <v>15142</v>
      </c>
      <c r="D57" s="52">
        <f t="shared" ref="D57:L57" si="10">SUM(D58:D64)</f>
        <v>0</v>
      </c>
      <c r="E57" s="52">
        <v>208</v>
      </c>
      <c r="F57" s="52">
        <f t="shared" si="10"/>
        <v>0</v>
      </c>
      <c r="G57" s="52">
        <v>419</v>
      </c>
      <c r="H57" s="52">
        <f t="shared" si="10"/>
        <v>0</v>
      </c>
      <c r="I57" s="52">
        <v>1050</v>
      </c>
      <c r="J57" s="52">
        <f t="shared" si="10"/>
        <v>0</v>
      </c>
      <c r="K57" s="52">
        <v>712025.78399999999</v>
      </c>
      <c r="L57" s="52">
        <f t="shared" si="10"/>
        <v>0</v>
      </c>
      <c r="M57" s="58"/>
      <c r="N57" s="58"/>
      <c r="O57" s="51" t="s">
        <v>119</v>
      </c>
      <c r="P57" s="52">
        <f t="shared" ref="P57:W57" si="11">SUM(P58:P64)</f>
        <v>16027</v>
      </c>
      <c r="Q57" s="52">
        <f t="shared" si="11"/>
        <v>0</v>
      </c>
      <c r="R57" s="52">
        <f t="shared" si="11"/>
        <v>171</v>
      </c>
      <c r="S57" s="52">
        <f t="shared" si="11"/>
        <v>0</v>
      </c>
      <c r="T57" s="52">
        <f t="shared" si="11"/>
        <v>332</v>
      </c>
      <c r="U57" s="52">
        <f t="shared" si="11"/>
        <v>0</v>
      </c>
      <c r="V57" s="52">
        <f t="shared" si="11"/>
        <v>1237</v>
      </c>
      <c r="W57" s="52">
        <f t="shared" si="11"/>
        <v>0</v>
      </c>
    </row>
    <row r="58" spans="1:23" ht="15.75" thickBot="1" x14ac:dyDescent="0.3">
      <c r="A58" s="10">
        <v>50</v>
      </c>
      <c r="B58" s="54" t="s">
        <v>67</v>
      </c>
      <c r="C58" s="158">
        <v>3269</v>
      </c>
      <c r="D58" s="53"/>
      <c r="E58" s="53">
        <v>57</v>
      </c>
      <c r="F58" s="53"/>
      <c r="G58" s="53">
        <v>136</v>
      </c>
      <c r="H58" s="53"/>
      <c r="I58" s="53">
        <v>449</v>
      </c>
      <c r="J58" s="53"/>
      <c r="K58" s="53">
        <v>307790.2</v>
      </c>
      <c r="L58" s="53"/>
      <c r="M58" s="58"/>
      <c r="N58" s="58"/>
      <c r="O58" s="54" t="s">
        <v>67</v>
      </c>
      <c r="P58" s="53">
        <v>4036</v>
      </c>
      <c r="Q58" s="53"/>
      <c r="R58" s="53">
        <v>25</v>
      </c>
      <c r="S58" s="53"/>
      <c r="T58" s="53">
        <v>45</v>
      </c>
      <c r="U58" s="53"/>
      <c r="V58" s="53">
        <v>425</v>
      </c>
      <c r="W58" s="53"/>
    </row>
    <row r="59" spans="1:23" ht="15.75" thickBot="1" x14ac:dyDescent="0.3">
      <c r="A59" s="10">
        <v>51</v>
      </c>
      <c r="B59" s="54" t="s">
        <v>68</v>
      </c>
      <c r="C59" s="158">
        <v>361</v>
      </c>
      <c r="D59" s="53"/>
      <c r="E59" s="53">
        <v>11</v>
      </c>
      <c r="F59" s="53"/>
      <c r="G59" s="53">
        <v>10</v>
      </c>
      <c r="H59" s="53"/>
      <c r="I59" s="53">
        <v>0</v>
      </c>
      <c r="J59" s="53"/>
      <c r="K59" s="53">
        <v>8</v>
      </c>
      <c r="L59" s="53"/>
      <c r="M59" s="58"/>
      <c r="N59" s="58"/>
      <c r="O59" s="54" t="s">
        <v>68</v>
      </c>
      <c r="P59" s="53">
        <v>379</v>
      </c>
      <c r="Q59" s="53"/>
      <c r="R59" s="53">
        <v>8</v>
      </c>
      <c r="S59" s="53"/>
      <c r="T59" s="53">
        <v>12</v>
      </c>
      <c r="U59" s="53"/>
      <c r="V59" s="53">
        <v>21</v>
      </c>
      <c r="W59" s="53"/>
    </row>
    <row r="60" spans="1:23" ht="26.25" thickBot="1" x14ac:dyDescent="0.3">
      <c r="A60" s="10">
        <v>52</v>
      </c>
      <c r="B60" s="53" t="s">
        <v>69</v>
      </c>
      <c r="C60" s="158">
        <v>1737</v>
      </c>
      <c r="D60" s="53"/>
      <c r="E60" s="53">
        <v>20</v>
      </c>
      <c r="F60" s="53"/>
      <c r="G60" s="53">
        <v>63</v>
      </c>
      <c r="H60" s="53"/>
      <c r="I60" s="53">
        <v>9</v>
      </c>
      <c r="J60" s="53"/>
      <c r="K60" s="53">
        <v>1870.694</v>
      </c>
      <c r="L60" s="53"/>
      <c r="M60" s="58"/>
      <c r="N60" s="58"/>
      <c r="O60" s="53" t="s">
        <v>69</v>
      </c>
      <c r="P60" s="53">
        <v>1469</v>
      </c>
      <c r="Q60" s="53"/>
      <c r="R60" s="53">
        <v>18</v>
      </c>
      <c r="S60" s="53"/>
      <c r="T60" s="53">
        <v>54</v>
      </c>
      <c r="U60" s="53"/>
      <c r="V60" s="53">
        <v>25</v>
      </c>
      <c r="W60" s="53"/>
    </row>
    <row r="61" spans="1:23" ht="26.25" thickBot="1" x14ac:dyDescent="0.3">
      <c r="A61" s="10">
        <v>53</v>
      </c>
      <c r="B61" s="53" t="s">
        <v>70</v>
      </c>
      <c r="C61" s="158">
        <v>706</v>
      </c>
      <c r="D61" s="53"/>
      <c r="E61" s="53">
        <v>9</v>
      </c>
      <c r="F61" s="53"/>
      <c r="G61" s="53">
        <v>18</v>
      </c>
      <c r="H61" s="53"/>
      <c r="I61" s="53">
        <v>23</v>
      </c>
      <c r="J61" s="53"/>
      <c r="K61" s="53">
        <v>38000</v>
      </c>
      <c r="L61" s="53"/>
      <c r="M61" s="58"/>
      <c r="N61" s="58"/>
      <c r="O61" s="53" t="s">
        <v>70</v>
      </c>
      <c r="P61" s="53">
        <v>549</v>
      </c>
      <c r="Q61" s="53"/>
      <c r="R61" s="53">
        <v>8</v>
      </c>
      <c r="S61" s="53"/>
      <c r="T61" s="53">
        <v>18</v>
      </c>
      <c r="U61" s="53"/>
      <c r="V61" s="53">
        <v>6</v>
      </c>
      <c r="W61" s="53"/>
    </row>
    <row r="62" spans="1:23" ht="26.25" thickBot="1" x14ac:dyDescent="0.3">
      <c r="A62" s="10">
        <v>54</v>
      </c>
      <c r="B62" s="53" t="s">
        <v>71</v>
      </c>
      <c r="C62" s="158">
        <v>1296</v>
      </c>
      <c r="D62" s="53"/>
      <c r="E62" s="53">
        <v>14</v>
      </c>
      <c r="F62" s="53"/>
      <c r="G62" s="53">
        <v>49</v>
      </c>
      <c r="H62" s="53"/>
      <c r="I62" s="53">
        <v>23</v>
      </c>
      <c r="J62" s="53"/>
      <c r="K62" s="53">
        <v>1243.28</v>
      </c>
      <c r="L62" s="53"/>
      <c r="M62" s="58"/>
      <c r="N62" s="58"/>
      <c r="O62" s="53" t="s">
        <v>71</v>
      </c>
      <c r="P62" s="53">
        <v>1275</v>
      </c>
      <c r="Q62" s="53"/>
      <c r="R62" s="53">
        <v>8</v>
      </c>
      <c r="S62" s="53"/>
      <c r="T62" s="53">
        <v>41</v>
      </c>
      <c r="U62" s="53"/>
      <c r="V62" s="53">
        <v>23</v>
      </c>
      <c r="W62" s="53"/>
    </row>
    <row r="63" spans="1:23" ht="15.75" thickBot="1" x14ac:dyDescent="0.3">
      <c r="A63" s="10">
        <v>55</v>
      </c>
      <c r="B63" s="54" t="s">
        <v>72</v>
      </c>
      <c r="C63" s="158">
        <v>1277</v>
      </c>
      <c r="D63" s="53"/>
      <c r="E63" s="53">
        <v>12</v>
      </c>
      <c r="F63" s="53"/>
      <c r="G63" s="53">
        <v>46</v>
      </c>
      <c r="H63" s="53"/>
      <c r="I63" s="53">
        <v>139</v>
      </c>
      <c r="J63" s="53"/>
      <c r="K63" s="53">
        <v>69074.990000000005</v>
      </c>
      <c r="L63" s="53"/>
      <c r="M63" s="58"/>
      <c r="N63" s="58"/>
      <c r="O63" s="54" t="s">
        <v>72</v>
      </c>
      <c r="P63" s="53">
        <v>1261</v>
      </c>
      <c r="Q63" s="53"/>
      <c r="R63" s="53">
        <v>13</v>
      </c>
      <c r="S63" s="53"/>
      <c r="T63" s="53">
        <v>47</v>
      </c>
      <c r="U63" s="53"/>
      <c r="V63" s="53">
        <v>134</v>
      </c>
      <c r="W63" s="53"/>
    </row>
    <row r="64" spans="1:23" ht="15.75" thickBot="1" x14ac:dyDescent="0.3">
      <c r="A64" s="10">
        <v>56</v>
      </c>
      <c r="B64" s="54" t="s">
        <v>73</v>
      </c>
      <c r="C64" s="158">
        <v>6496</v>
      </c>
      <c r="D64" s="53"/>
      <c r="E64" s="53">
        <v>85</v>
      </c>
      <c r="F64" s="53"/>
      <c r="G64" s="53">
        <v>97</v>
      </c>
      <c r="H64" s="53"/>
      <c r="I64" s="53">
        <v>407</v>
      </c>
      <c r="J64" s="53"/>
      <c r="K64" s="53">
        <v>294038.62</v>
      </c>
      <c r="L64" s="53"/>
      <c r="M64" s="58"/>
      <c r="N64" s="58"/>
      <c r="O64" s="54" t="s">
        <v>73</v>
      </c>
      <c r="P64" s="53">
        <v>7058</v>
      </c>
      <c r="Q64" s="53"/>
      <c r="R64" s="53">
        <v>91</v>
      </c>
      <c r="S64" s="53"/>
      <c r="T64" s="53">
        <v>115</v>
      </c>
      <c r="U64" s="53"/>
      <c r="V64" s="53">
        <v>603</v>
      </c>
      <c r="W64" s="53"/>
    </row>
    <row r="65" spans="1:23" ht="15.75" thickBot="1" x14ac:dyDescent="0.3">
      <c r="A65" s="7"/>
      <c r="B65" s="51" t="s">
        <v>120</v>
      </c>
      <c r="C65" s="52">
        <v>33715</v>
      </c>
      <c r="D65" s="52">
        <f t="shared" ref="D65:L65" si="12">SUM(D66:D76)</f>
        <v>0</v>
      </c>
      <c r="E65" s="52">
        <v>762</v>
      </c>
      <c r="F65" s="52">
        <f t="shared" si="12"/>
        <v>0</v>
      </c>
      <c r="G65" s="52">
        <v>841</v>
      </c>
      <c r="H65" s="52">
        <f t="shared" si="12"/>
        <v>0</v>
      </c>
      <c r="I65" s="52">
        <v>2689</v>
      </c>
      <c r="J65" s="52">
        <f t="shared" si="12"/>
        <v>0</v>
      </c>
      <c r="K65" s="52">
        <v>1701744.432</v>
      </c>
      <c r="L65" s="52">
        <f t="shared" si="12"/>
        <v>0</v>
      </c>
      <c r="M65" s="58"/>
      <c r="N65" s="58"/>
      <c r="O65" s="51" t="s">
        <v>120</v>
      </c>
      <c r="P65" s="52">
        <f>SUM(P66:P76)</f>
        <v>35035</v>
      </c>
      <c r="Q65" s="52">
        <f t="shared" ref="Q65:W65" si="13">SUM(Q66:Q76)</f>
        <v>0</v>
      </c>
      <c r="R65" s="52">
        <f t="shared" si="13"/>
        <v>809</v>
      </c>
      <c r="S65" s="52">
        <f t="shared" si="13"/>
        <v>0</v>
      </c>
      <c r="T65" s="52">
        <f t="shared" si="13"/>
        <v>834</v>
      </c>
      <c r="U65" s="52">
        <f t="shared" si="13"/>
        <v>0</v>
      </c>
      <c r="V65" s="52">
        <f t="shared" si="13"/>
        <v>2454</v>
      </c>
      <c r="W65" s="52">
        <f t="shared" si="13"/>
        <v>0</v>
      </c>
    </row>
    <row r="66" spans="1:23" ht="15.75" thickBot="1" x14ac:dyDescent="0.3">
      <c r="A66" s="10">
        <v>57</v>
      </c>
      <c r="B66" s="54" t="s">
        <v>74</v>
      </c>
      <c r="C66" s="158">
        <v>1413</v>
      </c>
      <c r="D66" s="53"/>
      <c r="E66" s="53">
        <v>45</v>
      </c>
      <c r="F66" s="53"/>
      <c r="G66" s="53">
        <v>52</v>
      </c>
      <c r="H66" s="53"/>
      <c r="I66" s="53">
        <v>287</v>
      </c>
      <c r="J66" s="53"/>
      <c r="K66" s="53">
        <v>4341.4309999999996</v>
      </c>
      <c r="L66" s="53"/>
      <c r="M66" s="58"/>
      <c r="N66" s="58"/>
      <c r="O66" s="54" t="s">
        <v>74</v>
      </c>
      <c r="P66" s="53">
        <v>1429</v>
      </c>
      <c r="Q66" s="53"/>
      <c r="R66" s="53">
        <v>42</v>
      </c>
      <c r="S66" s="53"/>
      <c r="T66" s="53">
        <v>55</v>
      </c>
      <c r="U66" s="53"/>
      <c r="V66" s="53">
        <v>286</v>
      </c>
      <c r="W66" s="53"/>
    </row>
    <row r="67" spans="1:23" ht="15.75" thickBot="1" x14ac:dyDescent="0.3">
      <c r="A67" s="8">
        <v>58</v>
      </c>
      <c r="B67" s="53" t="s">
        <v>75</v>
      </c>
      <c r="C67" s="158">
        <v>1164</v>
      </c>
      <c r="D67" s="53"/>
      <c r="E67" s="53">
        <v>65</v>
      </c>
      <c r="F67" s="53"/>
      <c r="G67" s="53">
        <v>36</v>
      </c>
      <c r="H67" s="53"/>
      <c r="I67" s="53">
        <v>368</v>
      </c>
      <c r="J67" s="53"/>
      <c r="K67" s="53">
        <v>41301.675999999999</v>
      </c>
      <c r="L67" s="53"/>
      <c r="M67" s="58"/>
      <c r="N67" s="58"/>
      <c r="O67" s="53" t="s">
        <v>75</v>
      </c>
      <c r="P67" s="53">
        <v>1222</v>
      </c>
      <c r="Q67" s="53"/>
      <c r="R67" s="53">
        <v>65</v>
      </c>
      <c r="S67" s="53"/>
      <c r="T67" s="53">
        <v>36</v>
      </c>
      <c r="U67" s="53"/>
      <c r="V67" s="53">
        <v>371</v>
      </c>
      <c r="W67" s="53"/>
    </row>
    <row r="68" spans="1:23" ht="15.75" thickBot="1" x14ac:dyDescent="0.3">
      <c r="A68" s="10">
        <v>59</v>
      </c>
      <c r="B68" s="54" t="s">
        <v>76</v>
      </c>
      <c r="C68" s="158">
        <v>2422</v>
      </c>
      <c r="D68" s="53"/>
      <c r="E68" s="53">
        <v>86</v>
      </c>
      <c r="F68" s="53"/>
      <c r="G68" s="53">
        <v>94</v>
      </c>
      <c r="H68" s="53"/>
      <c r="I68" s="53">
        <v>185</v>
      </c>
      <c r="J68" s="53"/>
      <c r="K68" s="53">
        <v>545078.6</v>
      </c>
      <c r="L68" s="53"/>
      <c r="M68" s="58"/>
      <c r="N68" s="58"/>
      <c r="O68" s="54" t="s">
        <v>76</v>
      </c>
      <c r="P68" s="53">
        <v>2497</v>
      </c>
      <c r="Q68" s="53"/>
      <c r="R68" s="53">
        <v>105</v>
      </c>
      <c r="S68" s="53"/>
      <c r="T68" s="53">
        <v>95</v>
      </c>
      <c r="U68" s="53"/>
      <c r="V68" s="53">
        <v>307</v>
      </c>
      <c r="W68" s="53"/>
    </row>
    <row r="69" spans="1:23" ht="15.75" thickBot="1" x14ac:dyDescent="0.3">
      <c r="A69" s="8">
        <v>60</v>
      </c>
      <c r="B69" s="54" t="s">
        <v>77</v>
      </c>
      <c r="C69" s="158">
        <v>2260</v>
      </c>
      <c r="D69" s="53"/>
      <c r="E69" s="53">
        <v>106</v>
      </c>
      <c r="F69" s="53"/>
      <c r="G69" s="53">
        <v>108</v>
      </c>
      <c r="H69" s="53"/>
      <c r="I69" s="53">
        <v>303</v>
      </c>
      <c r="J69" s="53"/>
      <c r="K69" s="53">
        <v>97373.81</v>
      </c>
      <c r="L69" s="53"/>
      <c r="M69" s="58"/>
      <c r="N69" s="58"/>
      <c r="O69" s="54" t="s">
        <v>77</v>
      </c>
      <c r="P69" s="53">
        <v>2072</v>
      </c>
      <c r="Q69" s="53"/>
      <c r="R69" s="53">
        <v>81</v>
      </c>
      <c r="S69" s="53"/>
      <c r="T69" s="53">
        <v>115</v>
      </c>
      <c r="U69" s="53"/>
      <c r="V69" s="53">
        <v>234</v>
      </c>
      <c r="W69" s="53"/>
    </row>
    <row r="70" spans="1:23" ht="15.75" thickBot="1" x14ac:dyDescent="0.3">
      <c r="A70" s="10">
        <v>61</v>
      </c>
      <c r="B70" s="53" t="s">
        <v>78</v>
      </c>
      <c r="C70" s="158">
        <v>3510</v>
      </c>
      <c r="D70" s="53"/>
      <c r="E70" s="53">
        <v>29</v>
      </c>
      <c r="F70" s="53"/>
      <c r="G70" s="53">
        <v>68</v>
      </c>
      <c r="H70" s="53"/>
      <c r="I70" s="53">
        <v>182</v>
      </c>
      <c r="J70" s="53"/>
      <c r="K70" s="53">
        <v>252529.81</v>
      </c>
      <c r="L70" s="53"/>
      <c r="M70" s="58"/>
      <c r="N70" s="58"/>
      <c r="O70" s="53" t="s">
        <v>78</v>
      </c>
      <c r="P70" s="53">
        <v>4288</v>
      </c>
      <c r="Q70" s="53"/>
      <c r="R70" s="53">
        <v>44</v>
      </c>
      <c r="S70" s="53"/>
      <c r="T70" s="53">
        <v>85</v>
      </c>
      <c r="U70" s="53"/>
      <c r="V70" s="53">
        <v>277</v>
      </c>
      <c r="W70" s="53"/>
    </row>
    <row r="71" spans="1:23" ht="15.75" thickBot="1" x14ac:dyDescent="0.3">
      <c r="A71" s="8">
        <v>62</v>
      </c>
      <c r="B71" s="54" t="s">
        <v>79</v>
      </c>
      <c r="C71" s="158">
        <v>6980</v>
      </c>
      <c r="D71" s="53"/>
      <c r="E71" s="53">
        <v>129</v>
      </c>
      <c r="F71" s="53"/>
      <c r="G71" s="53">
        <v>95</v>
      </c>
      <c r="H71" s="53"/>
      <c r="I71" s="53">
        <v>418</v>
      </c>
      <c r="J71" s="53"/>
      <c r="K71" s="53">
        <v>18491.687999999998</v>
      </c>
      <c r="L71" s="53"/>
      <c r="M71" s="58"/>
      <c r="N71" s="58"/>
      <c r="O71" s="54" t="s">
        <v>79</v>
      </c>
      <c r="P71" s="53">
        <v>6926</v>
      </c>
      <c r="Q71" s="53"/>
      <c r="R71" s="53">
        <v>153</v>
      </c>
      <c r="S71" s="53"/>
      <c r="T71" s="53">
        <v>110</v>
      </c>
      <c r="U71" s="53"/>
      <c r="V71" s="53">
        <v>361</v>
      </c>
      <c r="W71" s="53"/>
    </row>
    <row r="72" spans="1:23" ht="15.75" thickBot="1" x14ac:dyDescent="0.3">
      <c r="A72" s="10">
        <v>63</v>
      </c>
      <c r="B72" s="54" t="s">
        <v>80</v>
      </c>
      <c r="C72" s="158">
        <v>2318</v>
      </c>
      <c r="D72" s="53"/>
      <c r="E72" s="53">
        <v>19</v>
      </c>
      <c r="F72" s="53"/>
      <c r="G72" s="53">
        <v>43</v>
      </c>
      <c r="H72" s="53"/>
      <c r="I72" s="53">
        <v>126</v>
      </c>
      <c r="J72" s="53"/>
      <c r="K72" s="53">
        <v>214268.24</v>
      </c>
      <c r="L72" s="53"/>
      <c r="M72" s="58"/>
      <c r="N72" s="58"/>
      <c r="O72" s="54" t="s">
        <v>80</v>
      </c>
      <c r="P72" s="53">
        <v>2364</v>
      </c>
      <c r="Q72" s="53"/>
      <c r="R72" s="53">
        <v>22</v>
      </c>
      <c r="S72" s="53"/>
      <c r="T72" s="53">
        <v>46</v>
      </c>
      <c r="U72" s="53"/>
      <c r="V72" s="53">
        <v>158</v>
      </c>
      <c r="W72" s="53"/>
    </row>
    <row r="73" spans="1:23" ht="15.75" thickBot="1" x14ac:dyDescent="0.3">
      <c r="A73" s="8">
        <v>64</v>
      </c>
      <c r="B73" s="54" t="s">
        <v>81</v>
      </c>
      <c r="C73" s="158">
        <v>1767</v>
      </c>
      <c r="D73" s="53"/>
      <c r="E73" s="53">
        <v>71</v>
      </c>
      <c r="F73" s="53"/>
      <c r="G73" s="53">
        <v>76</v>
      </c>
      <c r="H73" s="53"/>
      <c r="I73" s="53">
        <v>104</v>
      </c>
      <c r="J73" s="53"/>
      <c r="K73" s="53">
        <v>172213.38</v>
      </c>
      <c r="L73" s="53"/>
      <c r="M73" s="58"/>
      <c r="N73" s="58"/>
      <c r="O73" s="54" t="s">
        <v>81</v>
      </c>
      <c r="P73" s="53">
        <v>1952</v>
      </c>
      <c r="Q73" s="53"/>
      <c r="R73" s="53">
        <v>83</v>
      </c>
      <c r="S73" s="53"/>
      <c r="T73" s="53">
        <v>56</v>
      </c>
      <c r="U73" s="53"/>
      <c r="V73" s="53">
        <v>108</v>
      </c>
      <c r="W73" s="53"/>
    </row>
    <row r="74" spans="1:23" ht="15.75" thickBot="1" x14ac:dyDescent="0.3">
      <c r="A74" s="10">
        <v>65</v>
      </c>
      <c r="B74" s="53" t="s">
        <v>82</v>
      </c>
      <c r="C74" s="158">
        <v>3326</v>
      </c>
      <c r="D74" s="53"/>
      <c r="E74" s="53">
        <v>75</v>
      </c>
      <c r="F74" s="53"/>
      <c r="G74" s="53">
        <v>47</v>
      </c>
      <c r="H74" s="53"/>
      <c r="I74" s="53">
        <v>60</v>
      </c>
      <c r="J74" s="53"/>
      <c r="K74" s="53">
        <v>74869.87</v>
      </c>
      <c r="L74" s="53"/>
      <c r="M74" s="58"/>
      <c r="N74" s="58"/>
      <c r="O74" s="53" t="s">
        <v>82</v>
      </c>
      <c r="P74" s="53">
        <v>3350</v>
      </c>
      <c r="Q74" s="53"/>
      <c r="R74" s="53">
        <v>81</v>
      </c>
      <c r="S74" s="53"/>
      <c r="T74" s="53">
        <v>36</v>
      </c>
      <c r="U74" s="53"/>
      <c r="V74" s="53">
        <v>43</v>
      </c>
      <c r="W74" s="53"/>
    </row>
    <row r="75" spans="1:23" ht="15.75" thickBot="1" x14ac:dyDescent="0.3">
      <c r="A75" s="8">
        <v>66</v>
      </c>
      <c r="B75" s="53" t="s">
        <v>83</v>
      </c>
      <c r="C75" s="158">
        <v>131</v>
      </c>
      <c r="D75" s="53"/>
      <c r="E75" s="53">
        <v>5</v>
      </c>
      <c r="F75" s="53"/>
      <c r="G75" s="53">
        <v>8</v>
      </c>
      <c r="H75" s="53"/>
      <c r="I75" s="53">
        <v>14</v>
      </c>
      <c r="J75" s="53"/>
      <c r="K75" s="53">
        <v>5651.4769999999999</v>
      </c>
      <c r="L75" s="53"/>
      <c r="M75" s="58"/>
      <c r="N75" s="58"/>
      <c r="O75" s="53" t="s">
        <v>83</v>
      </c>
      <c r="P75" s="53">
        <v>149</v>
      </c>
      <c r="Q75" s="53"/>
      <c r="R75" s="53">
        <v>2</v>
      </c>
      <c r="S75" s="53"/>
      <c r="T75" s="53">
        <v>4</v>
      </c>
      <c r="U75" s="53"/>
      <c r="V75" s="53">
        <v>25</v>
      </c>
      <c r="W75" s="53"/>
    </row>
    <row r="76" spans="1:23" ht="15.75" thickBot="1" x14ac:dyDescent="0.3">
      <c r="A76" s="10">
        <v>67</v>
      </c>
      <c r="B76" s="53" t="s">
        <v>84</v>
      </c>
      <c r="C76" s="158">
        <v>8424</v>
      </c>
      <c r="D76" s="53"/>
      <c r="E76" s="53">
        <v>132</v>
      </c>
      <c r="F76" s="53"/>
      <c r="G76" s="53">
        <v>214</v>
      </c>
      <c r="H76" s="53"/>
      <c r="I76" s="53">
        <v>642</v>
      </c>
      <c r="J76" s="53"/>
      <c r="K76" s="53">
        <v>275624.45</v>
      </c>
      <c r="L76" s="53"/>
      <c r="M76" s="58"/>
      <c r="N76" s="58"/>
      <c r="O76" s="53" t="s">
        <v>84</v>
      </c>
      <c r="P76" s="53">
        <v>8786</v>
      </c>
      <c r="Q76" s="53"/>
      <c r="R76" s="53">
        <v>131</v>
      </c>
      <c r="S76" s="53"/>
      <c r="T76" s="53">
        <v>196</v>
      </c>
      <c r="U76" s="53"/>
      <c r="V76" s="53">
        <v>284</v>
      </c>
      <c r="W76" s="53"/>
    </row>
    <row r="77" spans="1:23" ht="15.75" thickBot="1" x14ac:dyDescent="0.3">
      <c r="A77" s="9"/>
      <c r="B77" s="51" t="s">
        <v>121</v>
      </c>
      <c r="C77" s="52">
        <v>71628</v>
      </c>
      <c r="D77" s="52">
        <f t="shared" ref="D77:L77" si="14">SUM(D78:D95)</f>
        <v>0</v>
      </c>
      <c r="E77" s="52">
        <v>1717</v>
      </c>
      <c r="F77" s="52">
        <f t="shared" si="14"/>
        <v>0</v>
      </c>
      <c r="G77" s="52">
        <v>1773</v>
      </c>
      <c r="H77" s="52">
        <f t="shared" si="14"/>
        <v>0</v>
      </c>
      <c r="I77" s="52">
        <v>3601</v>
      </c>
      <c r="J77" s="52">
        <f t="shared" si="14"/>
        <v>0</v>
      </c>
      <c r="K77" s="52">
        <v>4842247.602</v>
      </c>
      <c r="L77" s="52">
        <f t="shared" si="14"/>
        <v>0</v>
      </c>
      <c r="M77" s="58"/>
      <c r="N77" s="58"/>
      <c r="O77" s="51" t="s">
        <v>121</v>
      </c>
      <c r="P77" s="52">
        <f t="shared" ref="P77:W77" si="15">SUM(P78:P95)</f>
        <v>73030</v>
      </c>
      <c r="Q77" s="52">
        <f t="shared" si="15"/>
        <v>0</v>
      </c>
      <c r="R77" s="52">
        <f t="shared" si="15"/>
        <v>1891</v>
      </c>
      <c r="S77" s="52">
        <f t="shared" si="15"/>
        <v>0</v>
      </c>
      <c r="T77" s="52">
        <f t="shared" si="15"/>
        <v>1800</v>
      </c>
      <c r="U77" s="52">
        <f t="shared" si="15"/>
        <v>0</v>
      </c>
      <c r="V77" s="52">
        <f t="shared" si="15"/>
        <v>4944</v>
      </c>
      <c r="W77" s="52">
        <f t="shared" si="15"/>
        <v>0</v>
      </c>
    </row>
    <row r="78" spans="1:23" ht="15.75" thickBot="1" x14ac:dyDescent="0.3">
      <c r="A78" s="8">
        <v>68</v>
      </c>
      <c r="B78" s="53" t="s">
        <v>85</v>
      </c>
      <c r="C78" s="158">
        <v>2068</v>
      </c>
      <c r="D78" s="53"/>
      <c r="E78" s="53">
        <v>65</v>
      </c>
      <c r="F78" s="53"/>
      <c r="G78" s="53">
        <v>41</v>
      </c>
      <c r="H78" s="53"/>
      <c r="I78" s="53">
        <v>76</v>
      </c>
      <c r="J78" s="53"/>
      <c r="K78" s="53">
        <v>169704.42</v>
      </c>
      <c r="L78" s="53"/>
      <c r="M78" s="58"/>
      <c r="N78" s="58"/>
      <c r="O78" s="53" t="s">
        <v>85</v>
      </c>
      <c r="P78" s="53">
        <v>2219</v>
      </c>
      <c r="Q78" s="53"/>
      <c r="R78" s="53">
        <v>69</v>
      </c>
      <c r="S78" s="53"/>
      <c r="T78" s="53">
        <v>42</v>
      </c>
      <c r="U78" s="53"/>
      <c r="V78" s="53">
        <v>76</v>
      </c>
      <c r="W78" s="53"/>
    </row>
    <row r="79" spans="1:23" ht="15.75" thickBot="1" x14ac:dyDescent="0.3">
      <c r="A79" s="8">
        <v>69</v>
      </c>
      <c r="B79" s="53" t="s">
        <v>86</v>
      </c>
      <c r="C79" s="158">
        <v>3177</v>
      </c>
      <c r="D79" s="53"/>
      <c r="E79" s="53">
        <v>70</v>
      </c>
      <c r="F79" s="53"/>
      <c r="G79" s="53">
        <v>73</v>
      </c>
      <c r="H79" s="53"/>
      <c r="I79" s="53">
        <v>99</v>
      </c>
      <c r="J79" s="53"/>
      <c r="K79" s="53">
        <v>378575.33</v>
      </c>
      <c r="L79" s="53"/>
      <c r="M79" s="58"/>
      <c r="N79" s="58"/>
      <c r="O79" s="53" t="s">
        <v>86</v>
      </c>
      <c r="P79" s="53">
        <v>3069</v>
      </c>
      <c r="Q79" s="53"/>
      <c r="R79" s="53">
        <v>86</v>
      </c>
      <c r="S79" s="53"/>
      <c r="T79" s="53">
        <v>78</v>
      </c>
      <c r="U79" s="53"/>
      <c r="V79" s="53">
        <v>67</v>
      </c>
      <c r="W79" s="53"/>
    </row>
    <row r="80" spans="1:23" ht="15.75" thickBot="1" x14ac:dyDescent="0.3">
      <c r="A80" s="8">
        <v>70</v>
      </c>
      <c r="B80" s="53" t="s">
        <v>87</v>
      </c>
      <c r="C80" s="158">
        <v>3088</v>
      </c>
      <c r="D80" s="53"/>
      <c r="E80" s="53">
        <v>86</v>
      </c>
      <c r="F80" s="53"/>
      <c r="G80" s="53">
        <v>69</v>
      </c>
      <c r="H80" s="53"/>
      <c r="I80" s="53">
        <v>126</v>
      </c>
      <c r="J80" s="53"/>
      <c r="K80" s="53">
        <v>315907.90000000002</v>
      </c>
      <c r="L80" s="53"/>
      <c r="M80" s="58"/>
      <c r="N80" s="58"/>
      <c r="O80" s="53" t="s">
        <v>87</v>
      </c>
      <c r="P80" s="53">
        <v>3361</v>
      </c>
      <c r="Q80" s="53"/>
      <c r="R80" s="53">
        <v>127</v>
      </c>
      <c r="S80" s="53"/>
      <c r="T80" s="53">
        <v>84</v>
      </c>
      <c r="U80" s="53"/>
      <c r="V80" s="53">
        <v>307</v>
      </c>
      <c r="W80" s="53"/>
    </row>
    <row r="81" spans="1:23" ht="15.75" thickBot="1" x14ac:dyDescent="0.3">
      <c r="A81" s="8">
        <v>71</v>
      </c>
      <c r="B81" s="53" t="s">
        <v>88</v>
      </c>
      <c r="C81" s="158">
        <v>4103</v>
      </c>
      <c r="D81" s="53"/>
      <c r="E81" s="53">
        <v>127</v>
      </c>
      <c r="F81" s="53"/>
      <c r="G81" s="53">
        <v>132</v>
      </c>
      <c r="H81" s="53"/>
      <c r="I81" s="53">
        <v>196</v>
      </c>
      <c r="J81" s="53"/>
      <c r="K81" s="53">
        <v>97968.7</v>
      </c>
      <c r="L81" s="53"/>
      <c r="M81" s="58"/>
      <c r="N81" s="58"/>
      <c r="O81" s="53" t="s">
        <v>88</v>
      </c>
      <c r="P81" s="53">
        <v>4315</v>
      </c>
      <c r="Q81" s="53"/>
      <c r="R81" s="53">
        <v>130</v>
      </c>
      <c r="S81" s="53"/>
      <c r="T81" s="53">
        <v>145</v>
      </c>
      <c r="U81" s="53"/>
      <c r="V81" s="53">
        <v>314</v>
      </c>
      <c r="W81" s="53"/>
    </row>
    <row r="82" spans="1:23" ht="15.75" thickBot="1" x14ac:dyDescent="0.3">
      <c r="A82" s="8">
        <v>72</v>
      </c>
      <c r="B82" s="53" t="s">
        <v>89</v>
      </c>
      <c r="C82" s="158">
        <v>2993</v>
      </c>
      <c r="D82" s="53"/>
      <c r="E82" s="53">
        <v>88</v>
      </c>
      <c r="F82" s="53"/>
      <c r="G82" s="53">
        <v>46</v>
      </c>
      <c r="H82" s="53"/>
      <c r="I82" s="53">
        <v>227</v>
      </c>
      <c r="J82" s="53"/>
      <c r="K82" s="53">
        <v>6306.1840000000002</v>
      </c>
      <c r="L82" s="53"/>
      <c r="M82" s="58"/>
      <c r="N82" s="58"/>
      <c r="O82" s="53" t="s">
        <v>89</v>
      </c>
      <c r="P82" s="53">
        <v>3249</v>
      </c>
      <c r="Q82" s="53"/>
      <c r="R82" s="53">
        <v>93</v>
      </c>
      <c r="S82" s="53"/>
      <c r="T82" s="53">
        <v>60</v>
      </c>
      <c r="U82" s="53"/>
      <c r="V82" s="53">
        <v>684</v>
      </c>
      <c r="W82" s="53"/>
    </row>
    <row r="83" spans="1:23" ht="15.75" thickBot="1" x14ac:dyDescent="0.3">
      <c r="A83" s="8">
        <v>73</v>
      </c>
      <c r="B83" s="53" t="s">
        <v>90</v>
      </c>
      <c r="C83" s="158">
        <v>2718</v>
      </c>
      <c r="D83" s="53"/>
      <c r="E83" s="53">
        <v>61</v>
      </c>
      <c r="F83" s="53"/>
      <c r="G83" s="53">
        <v>33</v>
      </c>
      <c r="H83" s="53"/>
      <c r="I83" s="53">
        <v>226</v>
      </c>
      <c r="J83" s="53"/>
      <c r="K83" s="53">
        <v>361552.9</v>
      </c>
      <c r="L83" s="53"/>
      <c r="M83" s="58"/>
      <c r="N83" s="58"/>
      <c r="O83" s="53" t="s">
        <v>90</v>
      </c>
      <c r="P83" s="53">
        <v>2717</v>
      </c>
      <c r="Q83" s="53"/>
      <c r="R83" s="53">
        <v>67</v>
      </c>
      <c r="S83" s="53"/>
      <c r="T83" s="53">
        <v>36</v>
      </c>
      <c r="U83" s="53"/>
      <c r="V83" s="53">
        <v>289</v>
      </c>
      <c r="W83" s="53"/>
    </row>
    <row r="84" spans="1:23" ht="15.75" thickBot="1" x14ac:dyDescent="0.3">
      <c r="A84" s="8">
        <v>74</v>
      </c>
      <c r="B84" s="53" t="s">
        <v>91</v>
      </c>
      <c r="C84" s="158">
        <v>1152</v>
      </c>
      <c r="D84" s="53"/>
      <c r="E84" s="53">
        <v>44</v>
      </c>
      <c r="F84" s="53"/>
      <c r="G84" s="53">
        <v>38</v>
      </c>
      <c r="H84" s="53"/>
      <c r="I84" s="53">
        <v>236</v>
      </c>
      <c r="J84" s="53"/>
      <c r="K84" s="53">
        <v>28141.78</v>
      </c>
      <c r="L84" s="53"/>
      <c r="M84" s="58"/>
      <c r="N84" s="58"/>
      <c r="O84" s="53" t="s">
        <v>91</v>
      </c>
      <c r="P84" s="53">
        <v>1339</v>
      </c>
      <c r="Q84" s="53"/>
      <c r="R84" s="53">
        <v>72</v>
      </c>
      <c r="S84" s="53"/>
      <c r="T84" s="53">
        <v>55</v>
      </c>
      <c r="U84" s="53"/>
      <c r="V84" s="53">
        <v>140</v>
      </c>
      <c r="W84" s="53"/>
    </row>
    <row r="85" spans="1:23" ht="15.75" thickBot="1" x14ac:dyDescent="0.3">
      <c r="A85" s="8">
        <v>75</v>
      </c>
      <c r="B85" s="54" t="s">
        <v>92</v>
      </c>
      <c r="C85" s="158">
        <v>2899</v>
      </c>
      <c r="D85" s="53"/>
      <c r="E85" s="53">
        <v>56</v>
      </c>
      <c r="F85" s="53"/>
      <c r="G85" s="53">
        <v>28</v>
      </c>
      <c r="H85" s="53"/>
      <c r="I85" s="53">
        <v>208</v>
      </c>
      <c r="J85" s="53"/>
      <c r="K85" s="53">
        <v>130287.72</v>
      </c>
      <c r="L85" s="53"/>
      <c r="M85" s="58"/>
      <c r="N85" s="58"/>
      <c r="O85" s="54" t="s">
        <v>92</v>
      </c>
      <c r="P85" s="53">
        <v>3089</v>
      </c>
      <c r="Q85" s="53"/>
      <c r="R85" s="53">
        <v>77</v>
      </c>
      <c r="S85" s="53"/>
      <c r="T85" s="53">
        <v>27</v>
      </c>
      <c r="U85" s="53"/>
      <c r="V85" s="53">
        <v>285</v>
      </c>
      <c r="W85" s="53"/>
    </row>
    <row r="86" spans="1:23" ht="15.75" thickBot="1" x14ac:dyDescent="0.3">
      <c r="A86" s="8">
        <v>76</v>
      </c>
      <c r="B86" s="53" t="s">
        <v>93</v>
      </c>
      <c r="C86" s="158">
        <v>2857</v>
      </c>
      <c r="D86" s="53"/>
      <c r="E86" s="53">
        <v>64</v>
      </c>
      <c r="F86" s="53"/>
      <c r="G86" s="53">
        <v>80</v>
      </c>
      <c r="H86" s="53"/>
      <c r="I86" s="53">
        <v>99</v>
      </c>
      <c r="J86" s="53"/>
      <c r="K86" s="53">
        <v>127367.25</v>
      </c>
      <c r="L86" s="53"/>
      <c r="M86" s="58"/>
      <c r="N86" s="58"/>
      <c r="O86" s="53" t="s">
        <v>93</v>
      </c>
      <c r="P86" s="53">
        <v>2745</v>
      </c>
      <c r="Q86" s="53"/>
      <c r="R86" s="53">
        <v>75</v>
      </c>
      <c r="S86" s="53"/>
      <c r="T86" s="53">
        <v>99</v>
      </c>
      <c r="U86" s="53"/>
      <c r="V86" s="53">
        <v>133</v>
      </c>
      <c r="W86" s="53"/>
    </row>
    <row r="87" spans="1:23" ht="15.75" thickBot="1" x14ac:dyDescent="0.3">
      <c r="A87" s="8">
        <v>77</v>
      </c>
      <c r="B87" s="53" t="s">
        <v>94</v>
      </c>
      <c r="C87" s="158">
        <v>16523</v>
      </c>
      <c r="D87" s="53"/>
      <c r="E87" s="53">
        <v>401</v>
      </c>
      <c r="F87" s="53"/>
      <c r="G87" s="53">
        <v>364</v>
      </c>
      <c r="H87" s="53"/>
      <c r="I87" s="53">
        <v>771</v>
      </c>
      <c r="J87" s="53"/>
      <c r="K87" s="53">
        <v>1019097.66</v>
      </c>
      <c r="L87" s="53"/>
      <c r="M87" s="58"/>
      <c r="N87" s="58"/>
      <c r="O87" s="53" t="s">
        <v>94</v>
      </c>
      <c r="P87" s="53">
        <v>17462</v>
      </c>
      <c r="Q87" s="53"/>
      <c r="R87" s="53">
        <v>373</v>
      </c>
      <c r="S87" s="53"/>
      <c r="T87" s="53">
        <v>358</v>
      </c>
      <c r="U87" s="53"/>
      <c r="V87" s="53">
        <v>1065</v>
      </c>
      <c r="W87" s="53"/>
    </row>
    <row r="88" spans="1:23" ht="15.75" thickBot="1" x14ac:dyDescent="0.3">
      <c r="A88" s="8">
        <v>78</v>
      </c>
      <c r="B88" s="53" t="s">
        <v>95</v>
      </c>
      <c r="C88" s="158">
        <v>3211</v>
      </c>
      <c r="D88" s="53"/>
      <c r="E88" s="53">
        <v>41</v>
      </c>
      <c r="F88" s="53"/>
      <c r="G88" s="53">
        <v>33</v>
      </c>
      <c r="H88" s="53"/>
      <c r="I88" s="53">
        <v>94</v>
      </c>
      <c r="J88" s="53"/>
      <c r="K88" s="53">
        <v>50878.12</v>
      </c>
      <c r="L88" s="53"/>
      <c r="M88" s="58"/>
      <c r="N88" s="58"/>
      <c r="O88" s="53" t="s">
        <v>95</v>
      </c>
      <c r="P88" s="53">
        <v>1936</v>
      </c>
      <c r="Q88" s="53"/>
      <c r="R88" s="53">
        <v>47</v>
      </c>
      <c r="S88" s="53"/>
      <c r="T88" s="53">
        <v>30</v>
      </c>
      <c r="U88" s="53"/>
      <c r="V88" s="53">
        <v>111</v>
      </c>
      <c r="W88" s="53"/>
    </row>
    <row r="89" spans="1:23" ht="15.75" thickBot="1" x14ac:dyDescent="0.3">
      <c r="A89" s="8">
        <v>79</v>
      </c>
      <c r="B89" s="53" t="s">
        <v>96</v>
      </c>
      <c r="C89" s="158">
        <v>3238</v>
      </c>
      <c r="D89" s="53"/>
      <c r="E89" s="53">
        <v>60</v>
      </c>
      <c r="F89" s="53"/>
      <c r="G89" s="53">
        <v>57</v>
      </c>
      <c r="H89" s="53"/>
      <c r="I89" s="53">
        <v>64</v>
      </c>
      <c r="J89" s="53"/>
      <c r="K89" s="53">
        <v>555065.59999999998</v>
      </c>
      <c r="L89" s="53"/>
      <c r="M89" s="58"/>
      <c r="N89" s="58"/>
      <c r="O89" s="53" t="s">
        <v>96</v>
      </c>
      <c r="P89" s="53">
        <v>2750</v>
      </c>
      <c r="Q89" s="53"/>
      <c r="R89" s="53">
        <v>69</v>
      </c>
      <c r="S89" s="53"/>
      <c r="T89" s="53">
        <v>79</v>
      </c>
      <c r="U89" s="53"/>
      <c r="V89" s="53">
        <v>59</v>
      </c>
      <c r="W89" s="53"/>
    </row>
    <row r="90" spans="1:23" ht="15.75" thickBot="1" x14ac:dyDescent="0.3">
      <c r="A90" s="8">
        <v>80</v>
      </c>
      <c r="B90" s="53" t="s">
        <v>97</v>
      </c>
      <c r="C90" s="158">
        <v>3406</v>
      </c>
      <c r="D90" s="53"/>
      <c r="E90" s="53">
        <v>74</v>
      </c>
      <c r="F90" s="53"/>
      <c r="G90" s="53">
        <v>23</v>
      </c>
      <c r="H90" s="53"/>
      <c r="I90" s="53">
        <v>41</v>
      </c>
      <c r="J90" s="53"/>
      <c r="K90" s="53">
        <v>35374.94</v>
      </c>
      <c r="L90" s="53"/>
      <c r="M90" s="58"/>
      <c r="N90" s="58"/>
      <c r="O90" s="53" t="s">
        <v>97</v>
      </c>
      <c r="P90" s="53">
        <v>3335</v>
      </c>
      <c r="Q90" s="53"/>
      <c r="R90" s="53">
        <v>79</v>
      </c>
      <c r="S90" s="53"/>
      <c r="T90" s="53">
        <v>40</v>
      </c>
      <c r="U90" s="53"/>
      <c r="V90" s="53">
        <v>30</v>
      </c>
      <c r="W90" s="53"/>
    </row>
    <row r="91" spans="1:23" ht="15.75" thickBot="1" x14ac:dyDescent="0.3">
      <c r="A91" s="8">
        <v>81</v>
      </c>
      <c r="B91" s="53" t="s">
        <v>98</v>
      </c>
      <c r="C91" s="158">
        <v>2837</v>
      </c>
      <c r="D91" s="53"/>
      <c r="E91" s="53">
        <v>59</v>
      </c>
      <c r="F91" s="53"/>
      <c r="G91" s="53">
        <v>40</v>
      </c>
      <c r="H91" s="53"/>
      <c r="I91" s="53">
        <v>49</v>
      </c>
      <c r="J91" s="53"/>
      <c r="K91" s="53">
        <v>309337.76</v>
      </c>
      <c r="L91" s="53"/>
      <c r="M91" s="58"/>
      <c r="N91" s="58"/>
      <c r="O91" s="53" t="s">
        <v>98</v>
      </c>
      <c r="P91" s="53">
        <v>2583</v>
      </c>
      <c r="Q91" s="53"/>
      <c r="R91" s="53">
        <v>62</v>
      </c>
      <c r="S91" s="53"/>
      <c r="T91" s="53">
        <v>37</v>
      </c>
      <c r="U91" s="53"/>
      <c r="V91" s="53">
        <v>108</v>
      </c>
      <c r="W91" s="53"/>
    </row>
    <row r="92" spans="1:23" ht="15.75" thickBot="1" x14ac:dyDescent="0.3">
      <c r="A92" s="8">
        <v>82</v>
      </c>
      <c r="B92" s="53" t="s">
        <v>99</v>
      </c>
      <c r="C92" s="158">
        <v>3235</v>
      </c>
      <c r="D92" s="53"/>
      <c r="E92" s="53">
        <v>112</v>
      </c>
      <c r="F92" s="53"/>
      <c r="G92" s="53">
        <v>71</v>
      </c>
      <c r="H92" s="53"/>
      <c r="I92" s="53">
        <v>84</v>
      </c>
      <c r="J92" s="53"/>
      <c r="K92" s="53">
        <v>662796.54</v>
      </c>
      <c r="L92" s="53"/>
      <c r="M92" s="58"/>
      <c r="N92" s="58"/>
      <c r="O92" s="53" t="s">
        <v>99</v>
      </c>
      <c r="P92" s="53">
        <v>3488</v>
      </c>
      <c r="Q92" s="53"/>
      <c r="R92" s="53">
        <v>129</v>
      </c>
      <c r="S92" s="53"/>
      <c r="T92" s="53">
        <v>69</v>
      </c>
      <c r="U92" s="53"/>
      <c r="V92" s="53">
        <v>113</v>
      </c>
      <c r="W92" s="53"/>
    </row>
    <row r="93" spans="1:23" ht="15.75" thickBot="1" x14ac:dyDescent="0.3">
      <c r="A93" s="8">
        <v>83</v>
      </c>
      <c r="B93" s="53" t="s">
        <v>100</v>
      </c>
      <c r="C93" s="158">
        <v>4627</v>
      </c>
      <c r="D93" s="53"/>
      <c r="E93" s="53">
        <v>72</v>
      </c>
      <c r="F93" s="53"/>
      <c r="G93" s="53">
        <v>63</v>
      </c>
      <c r="H93" s="53"/>
      <c r="I93" s="53">
        <v>208</v>
      </c>
      <c r="J93" s="53"/>
      <c r="K93" s="53">
        <v>116596.45</v>
      </c>
      <c r="L93" s="53"/>
      <c r="M93" s="58"/>
      <c r="N93" s="58"/>
      <c r="O93" s="53" t="s">
        <v>100</v>
      </c>
      <c r="P93" s="53">
        <v>5016</v>
      </c>
      <c r="Q93" s="53"/>
      <c r="R93" s="53">
        <v>73</v>
      </c>
      <c r="S93" s="53"/>
      <c r="T93" s="53">
        <v>68</v>
      </c>
      <c r="U93" s="53"/>
      <c r="V93" s="53">
        <v>203</v>
      </c>
      <c r="W93" s="53"/>
    </row>
    <row r="94" spans="1:23" ht="15.75" thickBot="1" x14ac:dyDescent="0.3">
      <c r="A94" s="8">
        <v>84</v>
      </c>
      <c r="B94" s="53" t="s">
        <v>101</v>
      </c>
      <c r="C94" s="158">
        <v>3118</v>
      </c>
      <c r="D94" s="53"/>
      <c r="E94" s="53">
        <v>86</v>
      </c>
      <c r="F94" s="53"/>
      <c r="G94" s="53">
        <v>173</v>
      </c>
      <c r="H94" s="53"/>
      <c r="I94" s="53">
        <v>127</v>
      </c>
      <c r="J94" s="53"/>
      <c r="K94" s="53">
        <v>25899.227999999999</v>
      </c>
      <c r="L94" s="53"/>
      <c r="M94" s="58"/>
      <c r="N94" s="58"/>
      <c r="O94" s="53" t="s">
        <v>101</v>
      </c>
      <c r="P94" s="53">
        <v>3434</v>
      </c>
      <c r="Q94" s="53"/>
      <c r="R94" s="53">
        <v>90</v>
      </c>
      <c r="S94" s="53"/>
      <c r="T94" s="53">
        <v>142</v>
      </c>
      <c r="U94" s="53"/>
      <c r="V94" s="53">
        <v>162</v>
      </c>
      <c r="W94" s="53"/>
    </row>
    <row r="95" spans="1:23" ht="15.75" thickBot="1" x14ac:dyDescent="0.3">
      <c r="A95" s="8">
        <v>85</v>
      </c>
      <c r="B95" s="54" t="s">
        <v>102</v>
      </c>
      <c r="C95" s="158">
        <v>6378</v>
      </c>
      <c r="D95" s="53"/>
      <c r="E95" s="53">
        <v>151</v>
      </c>
      <c r="F95" s="53"/>
      <c r="G95" s="53">
        <v>409</v>
      </c>
      <c r="H95" s="53"/>
      <c r="I95" s="53">
        <v>670</v>
      </c>
      <c r="J95" s="53"/>
      <c r="K95" s="53">
        <v>451389.12</v>
      </c>
      <c r="L95" s="53"/>
      <c r="M95" s="58"/>
      <c r="N95" s="58"/>
      <c r="O95" s="54" t="s">
        <v>102</v>
      </c>
      <c r="P95" s="53">
        <v>6923</v>
      </c>
      <c r="Q95" s="53"/>
      <c r="R95" s="53">
        <v>173</v>
      </c>
      <c r="S95" s="53"/>
      <c r="T95" s="53">
        <v>351</v>
      </c>
      <c r="U95" s="53"/>
      <c r="V95" s="53">
        <v>798</v>
      </c>
      <c r="W95" s="53"/>
    </row>
    <row r="96" spans="1:23" s="13" customFormat="1" ht="13.5" thickBot="1" x14ac:dyDescent="0.25">
      <c r="A96" s="142"/>
      <c r="B96" s="146"/>
      <c r="C96" s="144">
        <v>18321</v>
      </c>
      <c r="D96" s="144">
        <f t="shared" ref="D96:L96" si="16">SUM(D97:D100)</f>
        <v>0</v>
      </c>
      <c r="E96" s="144">
        <v>449</v>
      </c>
      <c r="F96" s="144">
        <f t="shared" si="16"/>
        <v>0</v>
      </c>
      <c r="G96" s="144">
        <v>269</v>
      </c>
      <c r="H96" s="144">
        <f t="shared" si="16"/>
        <v>0</v>
      </c>
      <c r="I96" s="144">
        <v>186</v>
      </c>
      <c r="J96" s="144">
        <f t="shared" si="16"/>
        <v>0</v>
      </c>
      <c r="K96" s="144">
        <v>857917.68599999999</v>
      </c>
      <c r="L96" s="144">
        <f t="shared" si="16"/>
        <v>0</v>
      </c>
    </row>
    <row r="97" spans="1:23" s="13" customFormat="1" ht="13.5" thickBot="1" x14ac:dyDescent="0.25">
      <c r="A97" s="8">
        <v>86</v>
      </c>
      <c r="B97" s="10" t="s">
        <v>497</v>
      </c>
      <c r="C97" s="159">
        <v>8073</v>
      </c>
      <c r="D97" s="2"/>
      <c r="E97" s="2">
        <v>216</v>
      </c>
      <c r="F97" s="2"/>
      <c r="G97" s="2">
        <v>124</v>
      </c>
      <c r="H97" s="2"/>
      <c r="I97" s="2">
        <v>74</v>
      </c>
      <c r="J97" s="53"/>
      <c r="K97" s="53">
        <v>581317.06000000006</v>
      </c>
      <c r="L97" s="53"/>
    </row>
    <row r="98" spans="1:23" s="13" customFormat="1" ht="13.5" thickBot="1" x14ac:dyDescent="0.25">
      <c r="A98" s="8">
        <v>87</v>
      </c>
      <c r="B98" s="10" t="s">
        <v>498</v>
      </c>
      <c r="C98" s="159">
        <v>5207</v>
      </c>
      <c r="D98" s="145"/>
      <c r="E98" s="2">
        <v>154</v>
      </c>
      <c r="F98" s="2"/>
      <c r="G98" s="2">
        <v>106</v>
      </c>
      <c r="H98" s="2"/>
      <c r="I98" s="2">
        <v>109</v>
      </c>
      <c r="J98" s="53"/>
      <c r="K98" s="53">
        <v>265425.53999999998</v>
      </c>
      <c r="L98" s="53"/>
    </row>
    <row r="99" spans="1:23" s="13" customFormat="1" ht="13.5" thickBot="1" x14ac:dyDescent="0.25">
      <c r="A99" s="8">
        <v>88</v>
      </c>
      <c r="B99" s="10" t="s">
        <v>499</v>
      </c>
      <c r="C99" s="159">
        <v>3305</v>
      </c>
      <c r="D99" s="2"/>
      <c r="E99" s="2">
        <v>49</v>
      </c>
      <c r="F99" s="2"/>
      <c r="G99" s="2">
        <v>28</v>
      </c>
      <c r="H99" s="2"/>
      <c r="I99" s="2">
        <v>3</v>
      </c>
      <c r="J99" s="53"/>
      <c r="K99" s="53">
        <v>10874.686</v>
      </c>
      <c r="L99" s="53"/>
    </row>
    <row r="100" spans="1:23" s="13" customFormat="1" ht="13.5" thickBot="1" x14ac:dyDescent="0.25">
      <c r="A100" s="8">
        <v>89</v>
      </c>
      <c r="B100" s="10" t="s">
        <v>500</v>
      </c>
      <c r="C100" s="159">
        <v>1736</v>
      </c>
      <c r="D100" s="2"/>
      <c r="E100" s="2">
        <v>30</v>
      </c>
      <c r="F100" s="2"/>
      <c r="G100" s="2">
        <v>11</v>
      </c>
      <c r="H100" s="2"/>
      <c r="I100" s="2">
        <v>0</v>
      </c>
      <c r="J100" s="53"/>
      <c r="K100" s="53">
        <v>300.39999999999998</v>
      </c>
      <c r="L100" s="53"/>
    </row>
    <row r="101" spans="1:23" ht="31.15" customHeight="1" thickBot="1" x14ac:dyDescent="0.3">
      <c r="A101" s="142"/>
      <c r="B101" s="59" t="s">
        <v>246</v>
      </c>
      <c r="C101" s="60">
        <v>1311</v>
      </c>
      <c r="D101" s="60">
        <f t="shared" ref="D101:L101" si="17">SUM(D3,D15,D26,D33,D48,D57,D65,D77,)</f>
        <v>0</v>
      </c>
      <c r="E101" s="60">
        <v>24</v>
      </c>
      <c r="F101" s="60">
        <f t="shared" si="17"/>
        <v>0</v>
      </c>
      <c r="G101" s="60">
        <v>58</v>
      </c>
      <c r="H101" s="60">
        <f t="shared" si="17"/>
        <v>0</v>
      </c>
      <c r="I101" s="60">
        <v>331</v>
      </c>
      <c r="J101" s="60">
        <f t="shared" si="17"/>
        <v>0</v>
      </c>
      <c r="K101" s="60">
        <v>189754.37</v>
      </c>
      <c r="L101" s="60">
        <f t="shared" si="17"/>
        <v>0</v>
      </c>
      <c r="M101" s="58"/>
      <c r="N101" s="58"/>
      <c r="O101" s="55" t="s">
        <v>125</v>
      </c>
      <c r="P101" s="56">
        <f>SUM(P3,P15,P26,P33,P48,P57,P65,P77,)</f>
        <v>351093</v>
      </c>
      <c r="Q101" s="56">
        <f t="shared" ref="Q101:W101" si="18">SUM(Q3,Q15,Q26,Q33,Q48,Q57,Q65,Q77,)</f>
        <v>0</v>
      </c>
      <c r="R101" s="56">
        <f t="shared" si="18"/>
        <v>7675</v>
      </c>
      <c r="S101" s="56">
        <f t="shared" si="18"/>
        <v>0</v>
      </c>
      <c r="T101" s="56">
        <f t="shared" si="18"/>
        <v>8086</v>
      </c>
      <c r="U101" s="56">
        <f t="shared" si="18"/>
        <v>0</v>
      </c>
      <c r="V101" s="56">
        <f>SUM(V3,V15,V26,V33,V48,V57,V65,V77,)</f>
        <v>28663</v>
      </c>
      <c r="W101" s="56">
        <f t="shared" si="18"/>
        <v>0</v>
      </c>
    </row>
    <row r="104" spans="1:23" x14ac:dyDescent="0.25">
      <c r="A104" s="253" t="s">
        <v>215</v>
      </c>
      <c r="B104" s="253"/>
    </row>
    <row r="106" spans="1:23" x14ac:dyDescent="0.25">
      <c r="A106" s="3"/>
    </row>
    <row r="107" spans="1:23" x14ac:dyDescent="0.25">
      <c r="A107" s="3"/>
    </row>
  </sheetData>
  <mergeCells count="13">
    <mergeCell ref="A1:A2"/>
    <mergeCell ref="A104:B104"/>
    <mergeCell ref="V1:W1"/>
    <mergeCell ref="K1:L1"/>
    <mergeCell ref="O1:O2"/>
    <mergeCell ref="P1:Q1"/>
    <mergeCell ref="R1:S1"/>
    <mergeCell ref="T1:U1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40" zoomScale="85" zoomScaleNormal="85" workbookViewId="0">
      <selection activeCell="I2" sqref="I2"/>
    </sheetView>
  </sheetViews>
  <sheetFormatPr defaultRowHeight="15" x14ac:dyDescent="0.25"/>
  <cols>
    <col min="1" max="1" width="8.140625" style="13" customWidth="1"/>
    <col min="2" max="2" width="29.28515625" customWidth="1"/>
    <col min="3" max="10" width="15.28515625" customWidth="1"/>
  </cols>
  <sheetData>
    <row r="1" spans="1:10" ht="64.150000000000006" customHeight="1" thickBot="1" x14ac:dyDescent="0.3">
      <c r="A1" s="247" t="s">
        <v>496</v>
      </c>
      <c r="B1" s="260" t="s">
        <v>103</v>
      </c>
      <c r="C1" s="263" t="s">
        <v>555</v>
      </c>
      <c r="D1" s="262"/>
      <c r="E1" s="261" t="s">
        <v>556</v>
      </c>
      <c r="F1" s="262"/>
      <c r="G1" s="261" t="s">
        <v>557</v>
      </c>
      <c r="H1" s="262"/>
      <c r="I1" s="261" t="s">
        <v>558</v>
      </c>
      <c r="J1" s="262"/>
    </row>
    <row r="2" spans="1:10" ht="25.15" customHeight="1" thickBot="1" x14ac:dyDescent="0.3">
      <c r="A2" s="248"/>
      <c r="B2" s="260"/>
      <c r="C2" s="61" t="s">
        <v>227</v>
      </c>
      <c r="D2" s="182" t="s">
        <v>575</v>
      </c>
      <c r="E2" s="182" t="s">
        <v>227</v>
      </c>
      <c r="F2" s="182" t="s">
        <v>575</v>
      </c>
      <c r="G2" s="182" t="s">
        <v>227</v>
      </c>
      <c r="H2" s="182" t="s">
        <v>575</v>
      </c>
      <c r="I2" s="182" t="s">
        <v>227</v>
      </c>
      <c r="J2" s="182" t="s">
        <v>575</v>
      </c>
    </row>
    <row r="3" spans="1:10" ht="15.75" thickBot="1" x14ac:dyDescent="0.3">
      <c r="A3" s="7"/>
      <c r="B3" s="51" t="s">
        <v>113</v>
      </c>
      <c r="C3" s="52">
        <f>SUM(C4:C14)</f>
        <v>0</v>
      </c>
      <c r="D3" s="52">
        <f t="shared" ref="D3:J3" si="0">SUM(D4:D14)</f>
        <v>0</v>
      </c>
      <c r="E3" s="52">
        <f t="shared" si="0"/>
        <v>0</v>
      </c>
      <c r="F3" s="52">
        <f t="shared" si="0"/>
        <v>0</v>
      </c>
      <c r="G3" s="52">
        <f t="shared" si="0"/>
        <v>0</v>
      </c>
      <c r="H3" s="52">
        <f t="shared" si="0"/>
        <v>0</v>
      </c>
      <c r="I3" s="52">
        <f t="shared" si="0"/>
        <v>0</v>
      </c>
      <c r="J3" s="52">
        <f t="shared" si="0"/>
        <v>0</v>
      </c>
    </row>
    <row r="4" spans="1:10" ht="15.75" thickBot="1" x14ac:dyDescent="0.3">
      <c r="A4" s="8">
        <v>1</v>
      </c>
      <c r="B4" s="53" t="s">
        <v>18</v>
      </c>
      <c r="C4" s="53"/>
      <c r="D4" s="53"/>
      <c r="E4" s="53"/>
      <c r="F4" s="53"/>
      <c r="G4" s="53"/>
      <c r="H4" s="53"/>
      <c r="I4" s="53"/>
      <c r="J4" s="53"/>
    </row>
    <row r="5" spans="1:10" ht="15.75" thickBot="1" x14ac:dyDescent="0.3">
      <c r="A5" s="8">
        <v>2</v>
      </c>
      <c r="B5" s="53" t="s">
        <v>19</v>
      </c>
      <c r="C5" s="53"/>
      <c r="D5" s="53"/>
      <c r="E5" s="53"/>
      <c r="F5" s="53"/>
      <c r="G5" s="53"/>
      <c r="H5" s="53"/>
      <c r="I5" s="53"/>
      <c r="J5" s="53"/>
    </row>
    <row r="6" spans="1:10" ht="15.75" thickBot="1" x14ac:dyDescent="0.3">
      <c r="A6" s="8">
        <v>3</v>
      </c>
      <c r="B6" s="53" t="s">
        <v>20</v>
      </c>
      <c r="C6" s="53"/>
      <c r="D6" s="53"/>
      <c r="E6" s="53"/>
      <c r="F6" s="53"/>
      <c r="G6" s="53"/>
      <c r="H6" s="53"/>
      <c r="I6" s="53"/>
      <c r="J6" s="53"/>
    </row>
    <row r="7" spans="1:10" ht="15.75" thickBot="1" x14ac:dyDescent="0.3">
      <c r="A7" s="8">
        <v>4</v>
      </c>
      <c r="B7" s="53" t="s">
        <v>21</v>
      </c>
      <c r="C7" s="53"/>
      <c r="D7" s="53"/>
      <c r="E7" s="53"/>
      <c r="F7" s="53"/>
      <c r="G7" s="53"/>
      <c r="H7" s="53"/>
      <c r="I7" s="53"/>
      <c r="J7" s="53"/>
    </row>
    <row r="8" spans="1:10" ht="15.75" thickBot="1" x14ac:dyDescent="0.3">
      <c r="A8" s="8">
        <v>5</v>
      </c>
      <c r="B8" s="53" t="s">
        <v>22</v>
      </c>
      <c r="C8" s="53"/>
      <c r="D8" s="53"/>
      <c r="E8" s="53"/>
      <c r="F8" s="53"/>
      <c r="G8" s="53"/>
      <c r="H8" s="53"/>
      <c r="I8" s="53"/>
      <c r="J8" s="53"/>
    </row>
    <row r="9" spans="1:10" ht="15.75" thickBot="1" x14ac:dyDescent="0.3">
      <c r="A9" s="8">
        <v>6</v>
      </c>
      <c r="B9" s="53" t="s">
        <v>23</v>
      </c>
      <c r="C9" s="53"/>
      <c r="D9" s="53"/>
      <c r="E9" s="53"/>
      <c r="F9" s="53"/>
      <c r="G9" s="53"/>
      <c r="H9" s="53"/>
      <c r="I9" s="53"/>
      <c r="J9" s="53"/>
    </row>
    <row r="10" spans="1:10" ht="15.75" thickBot="1" x14ac:dyDescent="0.3">
      <c r="A10" s="8">
        <v>7</v>
      </c>
      <c r="B10" s="53" t="s">
        <v>24</v>
      </c>
      <c r="C10" s="53"/>
      <c r="D10" s="53"/>
      <c r="E10" s="53"/>
      <c r="F10" s="53"/>
      <c r="G10" s="53"/>
      <c r="H10" s="53"/>
      <c r="I10" s="53"/>
      <c r="J10" s="53"/>
    </row>
    <row r="11" spans="1:10" ht="15.75" thickBot="1" x14ac:dyDescent="0.3">
      <c r="A11" s="8">
        <v>8</v>
      </c>
      <c r="B11" s="53" t="s">
        <v>25</v>
      </c>
      <c r="C11" s="53"/>
      <c r="D11" s="53"/>
      <c r="E11" s="53"/>
      <c r="F11" s="53"/>
      <c r="G11" s="53"/>
      <c r="H11" s="53"/>
      <c r="I11" s="53"/>
      <c r="J11" s="53"/>
    </row>
    <row r="12" spans="1:10" ht="15.75" thickBot="1" x14ac:dyDescent="0.3">
      <c r="A12" s="8">
        <v>9</v>
      </c>
      <c r="B12" s="53" t="s">
        <v>26</v>
      </c>
      <c r="C12" s="53"/>
      <c r="D12" s="53"/>
      <c r="E12" s="53"/>
      <c r="F12" s="53"/>
      <c r="G12" s="53"/>
      <c r="H12" s="53"/>
      <c r="I12" s="53"/>
      <c r="J12" s="53"/>
    </row>
    <row r="13" spans="1:10" ht="15.75" thickBot="1" x14ac:dyDescent="0.3">
      <c r="A13" s="8">
        <v>10</v>
      </c>
      <c r="B13" s="53" t="s">
        <v>27</v>
      </c>
      <c r="C13" s="53"/>
      <c r="D13" s="53"/>
      <c r="E13" s="53"/>
      <c r="F13" s="53"/>
      <c r="G13" s="53"/>
      <c r="H13" s="53"/>
      <c r="I13" s="53"/>
      <c r="J13" s="53"/>
    </row>
    <row r="14" spans="1:10" ht="15.75" thickBot="1" x14ac:dyDescent="0.3">
      <c r="A14" s="8">
        <v>11</v>
      </c>
      <c r="B14" s="53" t="s">
        <v>28</v>
      </c>
      <c r="C14" s="53"/>
      <c r="D14" s="53"/>
      <c r="E14" s="53"/>
      <c r="F14" s="53"/>
      <c r="G14" s="53"/>
      <c r="H14" s="53"/>
      <c r="I14" s="53"/>
      <c r="J14" s="53"/>
    </row>
    <row r="15" spans="1:10" ht="15.75" thickBot="1" x14ac:dyDescent="0.3">
      <c r="A15" s="9"/>
      <c r="B15" s="51" t="s">
        <v>115</v>
      </c>
      <c r="C15" s="52">
        <f>SUM(C16:C25)</f>
        <v>0</v>
      </c>
      <c r="D15" s="52">
        <f t="shared" ref="D15:J15" si="1">SUM(D16:D25)</f>
        <v>0</v>
      </c>
      <c r="E15" s="52">
        <f t="shared" si="1"/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</row>
    <row r="16" spans="1:10" ht="15.75" thickBot="1" x14ac:dyDescent="0.3">
      <c r="A16" s="8">
        <v>12</v>
      </c>
      <c r="B16" s="53" t="s">
        <v>29</v>
      </c>
      <c r="C16" s="53"/>
      <c r="D16" s="53"/>
      <c r="E16" s="53"/>
      <c r="F16" s="53"/>
      <c r="G16" s="53"/>
      <c r="H16" s="53"/>
      <c r="I16" s="53"/>
      <c r="J16" s="53"/>
    </row>
    <row r="17" spans="1:10" ht="15.75" thickBot="1" x14ac:dyDescent="0.3">
      <c r="A17" s="8">
        <v>13</v>
      </c>
      <c r="B17" s="53" t="s">
        <v>30</v>
      </c>
      <c r="C17" s="53"/>
      <c r="D17" s="53"/>
      <c r="E17" s="53"/>
      <c r="F17" s="53"/>
      <c r="G17" s="53"/>
      <c r="H17" s="53"/>
      <c r="I17" s="53"/>
      <c r="J17" s="53"/>
    </row>
    <row r="18" spans="1:10" ht="15.75" thickBot="1" x14ac:dyDescent="0.3">
      <c r="A18" s="8">
        <v>14</v>
      </c>
      <c r="B18" s="53" t="s">
        <v>31</v>
      </c>
      <c r="C18" s="53"/>
      <c r="D18" s="53"/>
      <c r="E18" s="53"/>
      <c r="F18" s="53"/>
      <c r="G18" s="53"/>
      <c r="H18" s="53"/>
      <c r="I18" s="53"/>
      <c r="J18" s="53"/>
    </row>
    <row r="19" spans="1:10" ht="15.75" thickBot="1" x14ac:dyDescent="0.3">
      <c r="A19" s="8">
        <v>15</v>
      </c>
      <c r="B19" s="54" t="s">
        <v>32</v>
      </c>
      <c r="C19" s="53"/>
      <c r="D19" s="53"/>
      <c r="E19" s="53"/>
      <c r="F19" s="53"/>
      <c r="G19" s="53"/>
      <c r="H19" s="53"/>
      <c r="I19" s="53"/>
      <c r="J19" s="53"/>
    </row>
    <row r="20" spans="1:10" ht="15.75" thickBot="1" x14ac:dyDescent="0.3">
      <c r="A20" s="8">
        <v>16</v>
      </c>
      <c r="B20" s="53" t="s">
        <v>33</v>
      </c>
      <c r="C20" s="53"/>
      <c r="D20" s="53"/>
      <c r="E20" s="53"/>
      <c r="F20" s="53"/>
      <c r="G20" s="53"/>
      <c r="H20" s="53"/>
      <c r="I20" s="53"/>
      <c r="J20" s="53"/>
    </row>
    <row r="21" spans="1:10" ht="15.75" thickBot="1" x14ac:dyDescent="0.3">
      <c r="A21" s="8">
        <v>17</v>
      </c>
      <c r="B21" s="53" t="s">
        <v>34</v>
      </c>
      <c r="C21" s="53"/>
      <c r="D21" s="53"/>
      <c r="E21" s="53"/>
      <c r="F21" s="53"/>
      <c r="G21" s="53"/>
      <c r="H21" s="53"/>
      <c r="I21" s="53"/>
      <c r="J21" s="53"/>
    </row>
    <row r="22" spans="1:10" ht="15.75" thickBot="1" x14ac:dyDescent="0.3">
      <c r="A22" s="8">
        <v>18</v>
      </c>
      <c r="B22" s="53" t="s">
        <v>35</v>
      </c>
      <c r="C22" s="53"/>
      <c r="D22" s="53"/>
      <c r="E22" s="53"/>
      <c r="F22" s="53"/>
      <c r="G22" s="53"/>
      <c r="H22" s="53"/>
      <c r="I22" s="53"/>
      <c r="J22" s="53"/>
    </row>
    <row r="23" spans="1:10" ht="15.75" thickBot="1" x14ac:dyDescent="0.3">
      <c r="A23" s="8">
        <v>19</v>
      </c>
      <c r="B23" s="53" t="s">
        <v>36</v>
      </c>
      <c r="C23" s="53"/>
      <c r="D23" s="53"/>
      <c r="E23" s="53"/>
      <c r="F23" s="53"/>
      <c r="G23" s="53"/>
      <c r="H23" s="53"/>
      <c r="I23" s="53"/>
      <c r="J23" s="53"/>
    </row>
    <row r="24" spans="1:10" ht="15.75" thickBot="1" x14ac:dyDescent="0.3">
      <c r="A24" s="8">
        <v>20</v>
      </c>
      <c r="B24" s="53" t="s">
        <v>37</v>
      </c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8">
        <v>21</v>
      </c>
      <c r="B25" s="53" t="s">
        <v>38</v>
      </c>
      <c r="C25" s="53"/>
      <c r="D25" s="53"/>
      <c r="E25" s="53"/>
      <c r="F25" s="53"/>
      <c r="G25" s="53"/>
      <c r="H25" s="53"/>
      <c r="I25" s="53"/>
      <c r="J25" s="53"/>
    </row>
    <row r="26" spans="1:10" ht="15.75" thickBot="1" x14ac:dyDescent="0.3">
      <c r="A26" s="9"/>
      <c r="B26" s="51" t="s">
        <v>116</v>
      </c>
      <c r="C26" s="52">
        <f>SUM(C27:C32)</f>
        <v>0</v>
      </c>
      <c r="D26" s="52">
        <f t="shared" ref="D26:J26" si="2">SUM(D27:D32)</f>
        <v>0</v>
      </c>
      <c r="E26" s="52">
        <f t="shared" si="2"/>
        <v>0</v>
      </c>
      <c r="F26" s="52">
        <f t="shared" si="2"/>
        <v>0</v>
      </c>
      <c r="G26" s="52">
        <f t="shared" si="2"/>
        <v>0</v>
      </c>
      <c r="H26" s="52">
        <f t="shared" si="2"/>
        <v>0</v>
      </c>
      <c r="I26" s="52">
        <f t="shared" si="2"/>
        <v>0</v>
      </c>
      <c r="J26" s="52">
        <f t="shared" si="2"/>
        <v>0</v>
      </c>
    </row>
    <row r="27" spans="1:10" ht="15.75" thickBot="1" x14ac:dyDescent="0.3">
      <c r="A27" s="8">
        <v>22</v>
      </c>
      <c r="B27" s="53" t="s">
        <v>39</v>
      </c>
      <c r="C27" s="53"/>
      <c r="D27" s="53"/>
      <c r="E27" s="53"/>
      <c r="F27" s="53"/>
      <c r="G27" s="53"/>
      <c r="H27" s="53"/>
      <c r="I27" s="53"/>
      <c r="J27" s="53"/>
    </row>
    <row r="28" spans="1:10" ht="15.75" thickBot="1" x14ac:dyDescent="0.3">
      <c r="A28" s="8">
        <v>23</v>
      </c>
      <c r="B28" s="53" t="s">
        <v>40</v>
      </c>
      <c r="C28" s="53"/>
      <c r="D28" s="53"/>
      <c r="E28" s="53"/>
      <c r="F28" s="53"/>
      <c r="G28" s="53"/>
      <c r="H28" s="53"/>
      <c r="I28" s="53"/>
      <c r="J28" s="53"/>
    </row>
    <row r="29" spans="1:10" ht="15.75" thickBot="1" x14ac:dyDescent="0.3">
      <c r="A29" s="8">
        <v>24</v>
      </c>
      <c r="B29" s="53" t="s">
        <v>41</v>
      </c>
      <c r="C29" s="53"/>
      <c r="D29" s="53"/>
      <c r="E29" s="53"/>
      <c r="F29" s="53"/>
      <c r="G29" s="53"/>
      <c r="H29" s="53"/>
      <c r="I29" s="53"/>
      <c r="J29" s="53"/>
    </row>
    <row r="30" spans="1:10" ht="15.75" thickBot="1" x14ac:dyDescent="0.3">
      <c r="A30" s="8">
        <v>25</v>
      </c>
      <c r="B30" s="53" t="s">
        <v>42</v>
      </c>
      <c r="C30" s="53"/>
      <c r="D30" s="53"/>
      <c r="E30" s="53"/>
      <c r="F30" s="53"/>
      <c r="G30" s="53"/>
      <c r="H30" s="53"/>
      <c r="I30" s="53"/>
      <c r="J30" s="53"/>
    </row>
    <row r="31" spans="1:10" ht="26.25" thickBot="1" x14ac:dyDescent="0.3">
      <c r="A31" s="8">
        <v>26</v>
      </c>
      <c r="B31" s="53" t="s">
        <v>43</v>
      </c>
      <c r="C31" s="53"/>
      <c r="D31" s="53"/>
      <c r="E31" s="53"/>
      <c r="F31" s="53"/>
      <c r="G31" s="53"/>
      <c r="H31" s="53"/>
      <c r="I31" s="53"/>
      <c r="J31" s="53"/>
    </row>
    <row r="32" spans="1:10" ht="26.25" thickBot="1" x14ac:dyDescent="0.3">
      <c r="A32" s="8">
        <v>27</v>
      </c>
      <c r="B32" s="53" t="s">
        <v>44</v>
      </c>
      <c r="C32" s="53"/>
      <c r="D32" s="53"/>
      <c r="E32" s="53"/>
      <c r="F32" s="53"/>
      <c r="G32" s="53"/>
      <c r="H32" s="53"/>
      <c r="I32" s="53"/>
      <c r="J32" s="53"/>
    </row>
    <row r="33" spans="1:10" ht="15.75" thickBot="1" x14ac:dyDescent="0.3">
      <c r="A33" s="7"/>
      <c r="B33" s="51" t="s">
        <v>117</v>
      </c>
      <c r="C33" s="52">
        <f>SUM(C34:C47)</f>
        <v>0</v>
      </c>
      <c r="D33" s="52">
        <f t="shared" ref="D33:J33" si="3">SUM(D34:D47)</f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  <c r="I33" s="52">
        <f t="shared" si="3"/>
        <v>0</v>
      </c>
      <c r="J33" s="52">
        <f t="shared" si="3"/>
        <v>0</v>
      </c>
    </row>
    <row r="34" spans="1:10" ht="15.75" thickBot="1" x14ac:dyDescent="0.3">
      <c r="A34" s="10">
        <v>28</v>
      </c>
      <c r="B34" s="54" t="s">
        <v>45</v>
      </c>
      <c r="C34" s="53"/>
      <c r="D34" s="53"/>
      <c r="E34" s="53"/>
      <c r="F34" s="53"/>
      <c r="G34" s="53"/>
      <c r="H34" s="53"/>
      <c r="I34" s="53"/>
      <c r="J34" s="53"/>
    </row>
    <row r="35" spans="1:10" ht="15.75" thickBot="1" x14ac:dyDescent="0.3">
      <c r="A35" s="10">
        <v>29</v>
      </c>
      <c r="B35" s="54" t="s">
        <v>46</v>
      </c>
      <c r="C35" s="53"/>
      <c r="D35" s="53"/>
      <c r="E35" s="53"/>
      <c r="F35" s="53"/>
      <c r="G35" s="53"/>
      <c r="H35" s="53"/>
      <c r="I35" s="53"/>
      <c r="J35" s="53"/>
    </row>
    <row r="36" spans="1:10" ht="15.75" thickBot="1" x14ac:dyDescent="0.3">
      <c r="A36" s="10">
        <v>30</v>
      </c>
      <c r="B36" s="54" t="s">
        <v>47</v>
      </c>
      <c r="C36" s="53"/>
      <c r="D36" s="53"/>
      <c r="E36" s="53"/>
      <c r="F36" s="53"/>
      <c r="G36" s="53"/>
      <c r="H36" s="53"/>
      <c r="I36" s="53"/>
      <c r="J36" s="53"/>
    </row>
    <row r="37" spans="1:10" ht="15.75" thickBot="1" x14ac:dyDescent="0.3">
      <c r="A37" s="10">
        <v>31</v>
      </c>
      <c r="B37" s="54" t="s">
        <v>48</v>
      </c>
      <c r="C37" s="53"/>
      <c r="D37" s="53"/>
      <c r="E37" s="53"/>
      <c r="F37" s="53"/>
      <c r="G37" s="53"/>
      <c r="H37" s="53"/>
      <c r="I37" s="53"/>
      <c r="J37" s="53"/>
    </row>
    <row r="38" spans="1:10" ht="15.75" thickBot="1" x14ac:dyDescent="0.3">
      <c r="A38" s="10">
        <v>32</v>
      </c>
      <c r="B38" s="54" t="s">
        <v>49</v>
      </c>
      <c r="C38" s="53"/>
      <c r="D38" s="53"/>
      <c r="E38" s="53"/>
      <c r="F38" s="53"/>
      <c r="G38" s="53"/>
      <c r="H38" s="53"/>
      <c r="I38" s="53"/>
      <c r="J38" s="53"/>
    </row>
    <row r="39" spans="1:10" ht="15.75" thickBot="1" x14ac:dyDescent="0.3">
      <c r="A39" s="10">
        <v>33</v>
      </c>
      <c r="B39" s="54" t="s">
        <v>503</v>
      </c>
      <c r="C39" s="53"/>
      <c r="D39" s="53"/>
      <c r="E39" s="53"/>
      <c r="F39" s="53"/>
      <c r="G39" s="53"/>
      <c r="H39" s="53"/>
      <c r="I39" s="53"/>
      <c r="J39" s="53"/>
    </row>
    <row r="40" spans="1:10" ht="15.75" thickBot="1" x14ac:dyDescent="0.3">
      <c r="A40" s="10">
        <v>34</v>
      </c>
      <c r="B40" s="54" t="s">
        <v>51</v>
      </c>
      <c r="C40" s="53"/>
      <c r="D40" s="53"/>
      <c r="E40" s="53"/>
      <c r="F40" s="53"/>
      <c r="G40" s="53"/>
      <c r="H40" s="53"/>
      <c r="I40" s="53"/>
      <c r="J40" s="53"/>
    </row>
    <row r="41" spans="1:10" ht="15.75" thickBot="1" x14ac:dyDescent="0.3">
      <c r="A41" s="10">
        <v>35</v>
      </c>
      <c r="B41" s="54" t="s">
        <v>52</v>
      </c>
      <c r="C41" s="53"/>
      <c r="D41" s="53"/>
      <c r="E41" s="53"/>
      <c r="F41" s="53"/>
      <c r="G41" s="53"/>
      <c r="H41" s="53"/>
      <c r="I41" s="53"/>
      <c r="J41" s="53"/>
    </row>
    <row r="42" spans="1:10" ht="15.75" thickBot="1" x14ac:dyDescent="0.3">
      <c r="A42" s="10">
        <v>36</v>
      </c>
      <c r="B42" s="54" t="s">
        <v>53</v>
      </c>
      <c r="C42" s="53"/>
      <c r="D42" s="53"/>
      <c r="E42" s="53"/>
      <c r="F42" s="53"/>
      <c r="G42" s="53"/>
      <c r="H42" s="53"/>
      <c r="I42" s="53"/>
      <c r="J42" s="53"/>
    </row>
    <row r="43" spans="1:10" ht="15.75" thickBot="1" x14ac:dyDescent="0.3">
      <c r="A43" s="10">
        <v>37</v>
      </c>
      <c r="B43" s="54" t="s">
        <v>54</v>
      </c>
      <c r="C43" s="53"/>
      <c r="D43" s="53"/>
      <c r="E43" s="53"/>
      <c r="F43" s="53"/>
      <c r="G43" s="53"/>
      <c r="H43" s="53"/>
      <c r="I43" s="53"/>
      <c r="J43" s="53"/>
    </row>
    <row r="44" spans="1:10" ht="15.75" thickBot="1" x14ac:dyDescent="0.3">
      <c r="A44" s="10">
        <v>38</v>
      </c>
      <c r="B44" s="54" t="s">
        <v>55</v>
      </c>
      <c r="C44" s="53"/>
      <c r="D44" s="53"/>
      <c r="E44" s="53"/>
      <c r="F44" s="53"/>
      <c r="G44" s="53"/>
      <c r="H44" s="53"/>
      <c r="I44" s="53"/>
      <c r="J44" s="53"/>
    </row>
    <row r="45" spans="1:10" ht="15.75" thickBot="1" x14ac:dyDescent="0.3">
      <c r="A45" s="10">
        <v>39</v>
      </c>
      <c r="B45" s="54" t="s">
        <v>56</v>
      </c>
      <c r="C45" s="53"/>
      <c r="D45" s="53"/>
      <c r="E45" s="53"/>
      <c r="F45" s="53"/>
      <c r="G45" s="53"/>
      <c r="H45" s="53"/>
      <c r="I45" s="53"/>
      <c r="J45" s="53"/>
    </row>
    <row r="46" spans="1:10" ht="15.75" thickBot="1" x14ac:dyDescent="0.3">
      <c r="A46" s="10">
        <v>40</v>
      </c>
      <c r="B46" s="54" t="s">
        <v>57</v>
      </c>
      <c r="C46" s="53"/>
      <c r="D46" s="53"/>
      <c r="E46" s="53"/>
      <c r="F46" s="53"/>
      <c r="G46" s="53"/>
      <c r="H46" s="53"/>
      <c r="I46" s="53"/>
      <c r="J46" s="53"/>
    </row>
    <row r="47" spans="1:10" ht="15.75" thickBot="1" x14ac:dyDescent="0.3">
      <c r="A47" s="10">
        <v>41</v>
      </c>
      <c r="B47" s="54" t="s">
        <v>58</v>
      </c>
      <c r="C47" s="53"/>
      <c r="D47" s="53"/>
      <c r="E47" s="53"/>
      <c r="F47" s="53"/>
      <c r="G47" s="53"/>
      <c r="H47" s="53"/>
      <c r="I47" s="53"/>
      <c r="J47" s="53"/>
    </row>
    <row r="48" spans="1:10" ht="15.75" thickBot="1" x14ac:dyDescent="0.3">
      <c r="A48" s="7"/>
      <c r="B48" s="51" t="s">
        <v>118</v>
      </c>
      <c r="C48" s="52">
        <f>SUM(C49:C56)</f>
        <v>0</v>
      </c>
      <c r="D48" s="52">
        <f t="shared" ref="D48:J48" si="4">SUM(D49:D56)</f>
        <v>0</v>
      </c>
      <c r="E48" s="52">
        <f t="shared" si="4"/>
        <v>0</v>
      </c>
      <c r="F48" s="52">
        <f t="shared" si="4"/>
        <v>0</v>
      </c>
      <c r="G48" s="52">
        <f t="shared" si="4"/>
        <v>0</v>
      </c>
      <c r="H48" s="52">
        <f t="shared" si="4"/>
        <v>0</v>
      </c>
      <c r="I48" s="52">
        <f t="shared" si="4"/>
        <v>0</v>
      </c>
      <c r="J48" s="52">
        <f t="shared" si="4"/>
        <v>0</v>
      </c>
    </row>
    <row r="49" spans="1:10" ht="15.75" thickBot="1" x14ac:dyDescent="0.3">
      <c r="A49" s="8">
        <v>42</v>
      </c>
      <c r="B49" s="53" t="s">
        <v>59</v>
      </c>
      <c r="C49" s="53"/>
      <c r="D49" s="53"/>
      <c r="E49" s="53"/>
      <c r="F49" s="53"/>
      <c r="G49" s="53"/>
      <c r="H49" s="53"/>
      <c r="I49" s="53"/>
      <c r="J49" s="53"/>
    </row>
    <row r="50" spans="1:10" ht="15.75" thickBot="1" x14ac:dyDescent="0.3">
      <c r="A50" s="8">
        <v>43</v>
      </c>
      <c r="B50" s="53" t="s">
        <v>60</v>
      </c>
      <c r="C50" s="53"/>
      <c r="D50" s="53"/>
      <c r="E50" s="53"/>
      <c r="F50" s="53"/>
      <c r="G50" s="53"/>
      <c r="H50" s="53"/>
      <c r="I50" s="53"/>
      <c r="J50" s="53"/>
    </row>
    <row r="51" spans="1:10" ht="15.75" thickBot="1" x14ac:dyDescent="0.3">
      <c r="A51" s="8">
        <v>44</v>
      </c>
      <c r="B51" s="54" t="s">
        <v>61</v>
      </c>
      <c r="C51" s="53"/>
      <c r="D51" s="53"/>
      <c r="E51" s="53"/>
      <c r="F51" s="53"/>
      <c r="G51" s="53"/>
      <c r="H51" s="53"/>
      <c r="I51" s="53"/>
      <c r="J51" s="53"/>
    </row>
    <row r="52" spans="1:10" ht="15.75" thickBot="1" x14ac:dyDescent="0.3">
      <c r="A52" s="8">
        <v>45</v>
      </c>
      <c r="B52" s="53" t="s">
        <v>62</v>
      </c>
      <c r="C52" s="53"/>
      <c r="D52" s="53"/>
      <c r="E52" s="53"/>
      <c r="F52" s="53"/>
      <c r="G52" s="53"/>
      <c r="H52" s="53"/>
      <c r="I52" s="53"/>
      <c r="J52" s="53"/>
    </row>
    <row r="53" spans="1:10" ht="15.75" thickBot="1" x14ac:dyDescent="0.3">
      <c r="A53" s="8">
        <v>46</v>
      </c>
      <c r="B53" s="53" t="s">
        <v>63</v>
      </c>
      <c r="C53" s="53"/>
      <c r="D53" s="53"/>
      <c r="E53" s="53"/>
      <c r="F53" s="53"/>
      <c r="G53" s="53"/>
      <c r="H53" s="53"/>
      <c r="I53" s="53"/>
      <c r="J53" s="53"/>
    </row>
    <row r="54" spans="1:10" ht="15.75" thickBot="1" x14ac:dyDescent="0.3">
      <c r="A54" s="8">
        <v>47</v>
      </c>
      <c r="B54" s="53" t="s">
        <v>64</v>
      </c>
      <c r="C54" s="53"/>
      <c r="D54" s="53"/>
      <c r="E54" s="53"/>
      <c r="F54" s="53"/>
      <c r="G54" s="53"/>
      <c r="H54" s="53"/>
      <c r="I54" s="53"/>
      <c r="J54" s="53"/>
    </row>
    <row r="55" spans="1:10" ht="15.75" thickBot="1" x14ac:dyDescent="0.3">
      <c r="A55" s="8">
        <v>48</v>
      </c>
      <c r="B55" s="53" t="s">
        <v>65</v>
      </c>
      <c r="C55" s="53"/>
      <c r="D55" s="53"/>
      <c r="E55" s="53"/>
      <c r="F55" s="53"/>
      <c r="G55" s="53"/>
      <c r="H55" s="53"/>
      <c r="I55" s="53"/>
      <c r="J55" s="53"/>
    </row>
    <row r="56" spans="1:10" ht="15.75" thickBot="1" x14ac:dyDescent="0.3">
      <c r="A56" s="8">
        <v>49</v>
      </c>
      <c r="B56" s="54" t="s">
        <v>66</v>
      </c>
      <c r="C56" s="53"/>
      <c r="D56" s="53"/>
      <c r="E56" s="53"/>
      <c r="F56" s="53"/>
      <c r="G56" s="53"/>
      <c r="H56" s="53"/>
      <c r="I56" s="53"/>
      <c r="J56" s="53"/>
    </row>
    <row r="57" spans="1:10" ht="15.75" thickBot="1" x14ac:dyDescent="0.3">
      <c r="A57" s="7"/>
      <c r="B57" s="51" t="s">
        <v>119</v>
      </c>
      <c r="C57" s="52">
        <f t="shared" ref="C57:J57" si="5">SUM(C58:C64)</f>
        <v>0</v>
      </c>
      <c r="D57" s="52">
        <f t="shared" si="5"/>
        <v>0</v>
      </c>
      <c r="E57" s="52">
        <f t="shared" si="5"/>
        <v>0</v>
      </c>
      <c r="F57" s="52">
        <f t="shared" si="5"/>
        <v>0</v>
      </c>
      <c r="G57" s="52">
        <f t="shared" si="5"/>
        <v>0</v>
      </c>
      <c r="H57" s="52">
        <f t="shared" si="5"/>
        <v>0</v>
      </c>
      <c r="I57" s="52">
        <f t="shared" si="5"/>
        <v>0</v>
      </c>
      <c r="J57" s="52">
        <f t="shared" si="5"/>
        <v>0</v>
      </c>
    </row>
    <row r="58" spans="1:10" ht="15.75" thickBot="1" x14ac:dyDescent="0.3">
      <c r="A58" s="10">
        <v>50</v>
      </c>
      <c r="B58" s="54" t="s">
        <v>67</v>
      </c>
      <c r="C58" s="53"/>
      <c r="D58" s="53"/>
      <c r="E58" s="53"/>
      <c r="F58" s="53"/>
      <c r="G58" s="53"/>
      <c r="H58" s="53"/>
      <c r="I58" s="53"/>
      <c r="J58" s="53"/>
    </row>
    <row r="59" spans="1:10" ht="15.75" thickBot="1" x14ac:dyDescent="0.3">
      <c r="A59" s="10">
        <v>51</v>
      </c>
      <c r="B59" s="54" t="s">
        <v>68</v>
      </c>
      <c r="C59" s="53"/>
      <c r="D59" s="53"/>
      <c r="E59" s="53"/>
      <c r="F59" s="53"/>
      <c r="G59" s="53"/>
      <c r="H59" s="53"/>
      <c r="I59" s="53"/>
      <c r="J59" s="53"/>
    </row>
    <row r="60" spans="1:10" ht="26.25" thickBot="1" x14ac:dyDescent="0.3">
      <c r="A60" s="10">
        <v>52</v>
      </c>
      <c r="B60" s="53" t="s">
        <v>69</v>
      </c>
      <c r="C60" s="53"/>
      <c r="D60" s="53"/>
      <c r="E60" s="53"/>
      <c r="F60" s="53"/>
      <c r="G60" s="53"/>
      <c r="H60" s="53"/>
      <c r="I60" s="53"/>
      <c r="J60" s="53"/>
    </row>
    <row r="61" spans="1:10" ht="26.25" thickBot="1" x14ac:dyDescent="0.3">
      <c r="A61" s="10">
        <v>53</v>
      </c>
      <c r="B61" s="53" t="s">
        <v>70</v>
      </c>
      <c r="C61" s="53"/>
      <c r="D61" s="53"/>
      <c r="E61" s="53"/>
      <c r="F61" s="53"/>
      <c r="G61" s="53"/>
      <c r="H61" s="53"/>
      <c r="I61" s="53"/>
      <c r="J61" s="53"/>
    </row>
    <row r="62" spans="1:10" ht="26.25" thickBot="1" x14ac:dyDescent="0.3">
      <c r="A62" s="10">
        <v>54</v>
      </c>
      <c r="B62" s="53" t="s">
        <v>71</v>
      </c>
      <c r="C62" s="53"/>
      <c r="D62" s="53"/>
      <c r="E62" s="53"/>
      <c r="F62" s="53"/>
      <c r="G62" s="53"/>
      <c r="H62" s="53"/>
      <c r="I62" s="53"/>
      <c r="J62" s="53"/>
    </row>
    <row r="63" spans="1:10" ht="15.75" thickBot="1" x14ac:dyDescent="0.3">
      <c r="A63" s="10">
        <v>55</v>
      </c>
      <c r="B63" s="54" t="s">
        <v>72</v>
      </c>
      <c r="C63" s="53"/>
      <c r="D63" s="53"/>
      <c r="E63" s="53"/>
      <c r="F63" s="53"/>
      <c r="G63" s="53"/>
      <c r="H63" s="53"/>
      <c r="I63" s="53"/>
      <c r="J63" s="53"/>
    </row>
    <row r="64" spans="1:10" ht="15.75" thickBot="1" x14ac:dyDescent="0.3">
      <c r="A64" s="10">
        <v>56</v>
      </c>
      <c r="B64" s="54" t="s">
        <v>73</v>
      </c>
      <c r="C64" s="53"/>
      <c r="D64" s="53"/>
      <c r="E64" s="53"/>
      <c r="F64" s="53"/>
      <c r="G64" s="53"/>
      <c r="H64" s="53"/>
      <c r="I64" s="53"/>
      <c r="J64" s="53"/>
    </row>
    <row r="65" spans="1:10" ht="15.75" thickBot="1" x14ac:dyDescent="0.3">
      <c r="A65" s="7"/>
      <c r="B65" s="51" t="s">
        <v>120</v>
      </c>
      <c r="C65" s="52">
        <f>SUM(C66:C76)</f>
        <v>0</v>
      </c>
      <c r="D65" s="52">
        <f t="shared" ref="D65:J65" si="6">SUM(D66:D76)</f>
        <v>0</v>
      </c>
      <c r="E65" s="52">
        <f t="shared" si="6"/>
        <v>0</v>
      </c>
      <c r="F65" s="52">
        <f t="shared" si="6"/>
        <v>0</v>
      </c>
      <c r="G65" s="52">
        <f t="shared" si="6"/>
        <v>0</v>
      </c>
      <c r="H65" s="52">
        <f t="shared" si="6"/>
        <v>0</v>
      </c>
      <c r="I65" s="52">
        <f t="shared" si="6"/>
        <v>0</v>
      </c>
      <c r="J65" s="52">
        <f t="shared" si="6"/>
        <v>0</v>
      </c>
    </row>
    <row r="66" spans="1:10" ht="15.75" thickBot="1" x14ac:dyDescent="0.3">
      <c r="A66" s="10">
        <v>57</v>
      </c>
      <c r="B66" s="54" t="s">
        <v>74</v>
      </c>
      <c r="C66" s="53"/>
      <c r="D66" s="53"/>
      <c r="E66" s="53"/>
      <c r="F66" s="53"/>
      <c r="G66" s="53"/>
      <c r="H66" s="53"/>
      <c r="I66" s="53"/>
      <c r="J66" s="53"/>
    </row>
    <row r="67" spans="1:10" ht="15.75" thickBot="1" x14ac:dyDescent="0.3">
      <c r="A67" s="8">
        <v>58</v>
      </c>
      <c r="B67" s="53" t="s">
        <v>75</v>
      </c>
      <c r="C67" s="53"/>
      <c r="D67" s="53"/>
      <c r="E67" s="53"/>
      <c r="F67" s="53"/>
      <c r="G67" s="53"/>
      <c r="H67" s="53"/>
      <c r="I67" s="53"/>
      <c r="J67" s="53"/>
    </row>
    <row r="68" spans="1:10" ht="15.75" thickBot="1" x14ac:dyDescent="0.3">
      <c r="A68" s="10">
        <v>59</v>
      </c>
      <c r="B68" s="54" t="s">
        <v>76</v>
      </c>
      <c r="C68" s="53"/>
      <c r="D68" s="53"/>
      <c r="E68" s="53"/>
      <c r="F68" s="53"/>
      <c r="G68" s="53"/>
      <c r="H68" s="53"/>
      <c r="I68" s="53"/>
      <c r="J68" s="53"/>
    </row>
    <row r="69" spans="1:10" ht="15.75" thickBot="1" x14ac:dyDescent="0.3">
      <c r="A69" s="8">
        <v>60</v>
      </c>
      <c r="B69" s="54" t="s">
        <v>77</v>
      </c>
      <c r="C69" s="53"/>
      <c r="D69" s="53"/>
      <c r="E69" s="53"/>
      <c r="F69" s="53"/>
      <c r="G69" s="53"/>
      <c r="H69" s="53"/>
      <c r="I69" s="53"/>
      <c r="J69" s="53"/>
    </row>
    <row r="70" spans="1:10" ht="15.75" thickBot="1" x14ac:dyDescent="0.3">
      <c r="A70" s="10">
        <v>61</v>
      </c>
      <c r="B70" s="53" t="s">
        <v>78</v>
      </c>
      <c r="C70" s="53"/>
      <c r="D70" s="53"/>
      <c r="E70" s="53"/>
      <c r="F70" s="53"/>
      <c r="G70" s="53"/>
      <c r="H70" s="53"/>
      <c r="I70" s="53"/>
      <c r="J70" s="53"/>
    </row>
    <row r="71" spans="1:10" ht="15.75" thickBot="1" x14ac:dyDescent="0.3">
      <c r="A71" s="8">
        <v>62</v>
      </c>
      <c r="B71" s="54" t="s">
        <v>79</v>
      </c>
      <c r="C71" s="53"/>
      <c r="D71" s="53"/>
      <c r="E71" s="53"/>
      <c r="F71" s="53"/>
      <c r="G71" s="53"/>
      <c r="H71" s="53"/>
      <c r="I71" s="53"/>
      <c r="J71" s="53"/>
    </row>
    <row r="72" spans="1:10" ht="15.75" thickBot="1" x14ac:dyDescent="0.3">
      <c r="A72" s="10">
        <v>63</v>
      </c>
      <c r="B72" s="54" t="s">
        <v>80</v>
      </c>
      <c r="C72" s="53"/>
      <c r="D72" s="53"/>
      <c r="E72" s="53"/>
      <c r="F72" s="53"/>
      <c r="G72" s="53"/>
      <c r="H72" s="53"/>
      <c r="I72" s="53"/>
      <c r="J72" s="53"/>
    </row>
    <row r="73" spans="1:10" ht="15.75" thickBot="1" x14ac:dyDescent="0.3">
      <c r="A73" s="8">
        <v>64</v>
      </c>
      <c r="B73" s="54" t="s">
        <v>81</v>
      </c>
      <c r="C73" s="53"/>
      <c r="D73" s="53"/>
      <c r="E73" s="53"/>
      <c r="F73" s="53"/>
      <c r="G73" s="53"/>
      <c r="H73" s="53"/>
      <c r="I73" s="53"/>
      <c r="J73" s="53"/>
    </row>
    <row r="74" spans="1:10" ht="15.75" thickBot="1" x14ac:dyDescent="0.3">
      <c r="A74" s="10">
        <v>65</v>
      </c>
      <c r="B74" s="53" t="s">
        <v>82</v>
      </c>
      <c r="C74" s="53"/>
      <c r="D74" s="53"/>
      <c r="E74" s="53"/>
      <c r="F74" s="53"/>
      <c r="G74" s="53"/>
      <c r="H74" s="53"/>
      <c r="I74" s="53"/>
      <c r="J74" s="53"/>
    </row>
    <row r="75" spans="1:10" ht="15.75" thickBot="1" x14ac:dyDescent="0.3">
      <c r="A75" s="8">
        <v>66</v>
      </c>
      <c r="B75" s="53" t="s">
        <v>83</v>
      </c>
      <c r="C75" s="53"/>
      <c r="D75" s="53"/>
      <c r="E75" s="53"/>
      <c r="F75" s="53"/>
      <c r="G75" s="53"/>
      <c r="H75" s="53"/>
      <c r="I75" s="53"/>
      <c r="J75" s="53"/>
    </row>
    <row r="76" spans="1:10" ht="15.75" thickBot="1" x14ac:dyDescent="0.3">
      <c r="A76" s="10">
        <v>67</v>
      </c>
      <c r="B76" s="53" t="s">
        <v>84</v>
      </c>
      <c r="C76" s="53"/>
      <c r="D76" s="53"/>
      <c r="E76" s="53"/>
      <c r="F76" s="53"/>
      <c r="G76" s="53"/>
      <c r="H76" s="53"/>
      <c r="I76" s="53"/>
      <c r="J76" s="53"/>
    </row>
    <row r="77" spans="1:10" ht="15.75" thickBot="1" x14ac:dyDescent="0.3">
      <c r="A77" s="9"/>
      <c r="B77" s="51" t="s">
        <v>121</v>
      </c>
      <c r="C77" s="52">
        <f>SUM(C78:C95)</f>
        <v>0</v>
      </c>
      <c r="D77" s="52">
        <f t="shared" ref="D77:J77" si="7">SUM(D78:D95)</f>
        <v>0</v>
      </c>
      <c r="E77" s="52">
        <f t="shared" si="7"/>
        <v>0</v>
      </c>
      <c r="F77" s="52">
        <f t="shared" si="7"/>
        <v>0</v>
      </c>
      <c r="G77" s="52">
        <f t="shared" si="7"/>
        <v>0</v>
      </c>
      <c r="H77" s="52">
        <f t="shared" si="7"/>
        <v>0</v>
      </c>
      <c r="I77" s="52">
        <f t="shared" si="7"/>
        <v>0</v>
      </c>
      <c r="J77" s="52">
        <f t="shared" si="7"/>
        <v>0</v>
      </c>
    </row>
    <row r="78" spans="1:10" ht="15.75" thickBot="1" x14ac:dyDescent="0.3">
      <c r="A78" s="8">
        <v>68</v>
      </c>
      <c r="B78" s="53" t="s">
        <v>85</v>
      </c>
      <c r="C78" s="53"/>
      <c r="D78" s="53"/>
      <c r="E78" s="53"/>
      <c r="F78" s="53"/>
      <c r="G78" s="53"/>
      <c r="H78" s="53"/>
      <c r="I78" s="53"/>
      <c r="J78" s="53"/>
    </row>
    <row r="79" spans="1:10" ht="15.75" thickBot="1" x14ac:dyDescent="0.3">
      <c r="A79" s="8">
        <v>69</v>
      </c>
      <c r="B79" s="53" t="s">
        <v>86</v>
      </c>
      <c r="C79" s="53"/>
      <c r="D79" s="53"/>
      <c r="E79" s="53"/>
      <c r="F79" s="53"/>
      <c r="G79" s="53"/>
      <c r="H79" s="53"/>
      <c r="I79" s="53"/>
      <c r="J79" s="53"/>
    </row>
    <row r="80" spans="1:10" ht="15.75" thickBot="1" x14ac:dyDescent="0.3">
      <c r="A80" s="8">
        <v>70</v>
      </c>
      <c r="B80" s="53" t="s">
        <v>87</v>
      </c>
      <c r="C80" s="53"/>
      <c r="D80" s="53"/>
      <c r="E80" s="53"/>
      <c r="F80" s="53"/>
      <c r="G80" s="53"/>
      <c r="H80" s="53"/>
      <c r="I80" s="53"/>
      <c r="J80" s="53"/>
    </row>
    <row r="81" spans="1:10" ht="15.75" thickBot="1" x14ac:dyDescent="0.3">
      <c r="A81" s="8">
        <v>71</v>
      </c>
      <c r="B81" s="53" t="s">
        <v>88</v>
      </c>
      <c r="C81" s="53"/>
      <c r="D81" s="53"/>
      <c r="E81" s="53"/>
      <c r="F81" s="53"/>
      <c r="G81" s="53"/>
      <c r="H81" s="53"/>
      <c r="I81" s="53"/>
      <c r="J81" s="53"/>
    </row>
    <row r="82" spans="1:10" ht="15.75" thickBot="1" x14ac:dyDescent="0.3">
      <c r="A82" s="8">
        <v>72</v>
      </c>
      <c r="B82" s="53" t="s">
        <v>89</v>
      </c>
      <c r="C82" s="53"/>
      <c r="D82" s="53"/>
      <c r="E82" s="53"/>
      <c r="F82" s="53"/>
      <c r="G82" s="53"/>
      <c r="H82" s="53"/>
      <c r="I82" s="53"/>
      <c r="J82" s="53"/>
    </row>
    <row r="83" spans="1:10" ht="15.75" thickBot="1" x14ac:dyDescent="0.3">
      <c r="A83" s="8">
        <v>73</v>
      </c>
      <c r="B83" s="53" t="s">
        <v>90</v>
      </c>
      <c r="C83" s="53"/>
      <c r="D83" s="53"/>
      <c r="E83" s="53"/>
      <c r="F83" s="53"/>
      <c r="G83" s="53"/>
      <c r="H83" s="53"/>
      <c r="I83" s="53"/>
      <c r="J83" s="53"/>
    </row>
    <row r="84" spans="1:10" ht="15.75" thickBot="1" x14ac:dyDescent="0.3">
      <c r="A84" s="8">
        <v>74</v>
      </c>
      <c r="B84" s="53" t="s">
        <v>91</v>
      </c>
      <c r="C84" s="53"/>
      <c r="D84" s="53"/>
      <c r="E84" s="53"/>
      <c r="F84" s="53"/>
      <c r="G84" s="53"/>
      <c r="H84" s="53"/>
      <c r="I84" s="53"/>
      <c r="J84" s="53"/>
    </row>
    <row r="85" spans="1:10" ht="15.75" thickBot="1" x14ac:dyDescent="0.3">
      <c r="A85" s="8">
        <v>75</v>
      </c>
      <c r="B85" s="54" t="s">
        <v>92</v>
      </c>
      <c r="C85" s="53"/>
      <c r="D85" s="53"/>
      <c r="E85" s="53"/>
      <c r="F85" s="53"/>
      <c r="G85" s="53"/>
      <c r="H85" s="53"/>
      <c r="I85" s="53"/>
      <c r="J85" s="53"/>
    </row>
    <row r="86" spans="1:10" ht="15.75" thickBot="1" x14ac:dyDescent="0.3">
      <c r="A86" s="8">
        <v>76</v>
      </c>
      <c r="B86" s="53" t="s">
        <v>93</v>
      </c>
      <c r="C86" s="53"/>
      <c r="D86" s="53"/>
      <c r="E86" s="53"/>
      <c r="F86" s="53"/>
      <c r="G86" s="53"/>
      <c r="H86" s="53"/>
      <c r="I86" s="53"/>
      <c r="J86" s="53"/>
    </row>
    <row r="87" spans="1:10" ht="15.75" thickBot="1" x14ac:dyDescent="0.3">
      <c r="A87" s="8">
        <v>77</v>
      </c>
      <c r="B87" s="53" t="s">
        <v>94</v>
      </c>
      <c r="C87" s="53"/>
      <c r="D87" s="53"/>
      <c r="E87" s="53"/>
      <c r="F87" s="53"/>
      <c r="G87" s="53"/>
      <c r="H87" s="53"/>
      <c r="I87" s="53"/>
      <c r="J87" s="53"/>
    </row>
    <row r="88" spans="1:10" ht="15.75" thickBot="1" x14ac:dyDescent="0.3">
      <c r="A88" s="8">
        <v>78</v>
      </c>
      <c r="B88" s="53" t="s">
        <v>95</v>
      </c>
      <c r="C88" s="53"/>
      <c r="D88" s="53"/>
      <c r="E88" s="53"/>
      <c r="F88" s="53"/>
      <c r="G88" s="53"/>
      <c r="H88" s="53"/>
      <c r="I88" s="53"/>
      <c r="J88" s="53"/>
    </row>
    <row r="89" spans="1:10" ht="15.75" thickBot="1" x14ac:dyDescent="0.3">
      <c r="A89" s="8">
        <v>79</v>
      </c>
      <c r="B89" s="53" t="s">
        <v>96</v>
      </c>
      <c r="C89" s="53"/>
      <c r="D89" s="53"/>
      <c r="E89" s="53"/>
      <c r="F89" s="53"/>
      <c r="G89" s="53"/>
      <c r="H89" s="53"/>
      <c r="I89" s="53"/>
      <c r="J89" s="53"/>
    </row>
    <row r="90" spans="1:10" ht="15.75" thickBot="1" x14ac:dyDescent="0.3">
      <c r="A90" s="8">
        <v>80</v>
      </c>
      <c r="B90" s="53" t="s">
        <v>97</v>
      </c>
      <c r="C90" s="53"/>
      <c r="D90" s="53"/>
      <c r="E90" s="53"/>
      <c r="F90" s="53"/>
      <c r="G90" s="53"/>
      <c r="H90" s="53"/>
      <c r="I90" s="53"/>
      <c r="J90" s="53"/>
    </row>
    <row r="91" spans="1:10" ht="15.75" thickBot="1" x14ac:dyDescent="0.3">
      <c r="A91" s="8">
        <v>81</v>
      </c>
      <c r="B91" s="53" t="s">
        <v>98</v>
      </c>
      <c r="C91" s="53"/>
      <c r="D91" s="53"/>
      <c r="E91" s="53"/>
      <c r="F91" s="53"/>
      <c r="G91" s="53"/>
      <c r="H91" s="53"/>
      <c r="I91" s="53"/>
      <c r="J91" s="53"/>
    </row>
    <row r="92" spans="1:10" ht="15.75" thickBot="1" x14ac:dyDescent="0.3">
      <c r="A92" s="8">
        <v>82</v>
      </c>
      <c r="B92" s="53" t="s">
        <v>99</v>
      </c>
      <c r="C92" s="53"/>
      <c r="D92" s="53"/>
      <c r="E92" s="53"/>
      <c r="F92" s="53"/>
      <c r="G92" s="53"/>
      <c r="H92" s="53"/>
      <c r="I92" s="53"/>
      <c r="J92" s="53"/>
    </row>
    <row r="93" spans="1:10" ht="15.75" thickBot="1" x14ac:dyDescent="0.3">
      <c r="A93" s="8">
        <v>83</v>
      </c>
      <c r="B93" s="53" t="s">
        <v>100</v>
      </c>
      <c r="C93" s="53"/>
      <c r="D93" s="53"/>
      <c r="E93" s="53"/>
      <c r="F93" s="53"/>
      <c r="G93" s="53"/>
      <c r="H93" s="53"/>
      <c r="I93" s="53"/>
      <c r="J93" s="53"/>
    </row>
    <row r="94" spans="1:10" ht="15.75" thickBot="1" x14ac:dyDescent="0.3">
      <c r="A94" s="8">
        <v>84</v>
      </c>
      <c r="B94" s="53" t="s">
        <v>101</v>
      </c>
      <c r="C94" s="53"/>
      <c r="D94" s="53"/>
      <c r="E94" s="53"/>
      <c r="F94" s="53"/>
      <c r="G94" s="53"/>
      <c r="H94" s="53"/>
      <c r="I94" s="53"/>
      <c r="J94" s="53"/>
    </row>
    <row r="95" spans="1:10" ht="15.75" thickBot="1" x14ac:dyDescent="0.3">
      <c r="A95" s="8">
        <v>85</v>
      </c>
      <c r="B95" s="54" t="s">
        <v>102</v>
      </c>
      <c r="C95" s="53"/>
      <c r="D95" s="53"/>
      <c r="E95" s="53"/>
      <c r="F95" s="53"/>
      <c r="G95" s="53"/>
      <c r="H95" s="53"/>
      <c r="I95" s="53"/>
      <c r="J95" s="53"/>
    </row>
    <row r="96" spans="1:10" s="13" customFormat="1" ht="13.5" thickBot="1" x14ac:dyDescent="0.25">
      <c r="A96" s="142"/>
      <c r="B96" s="146"/>
      <c r="C96" s="143">
        <f>SUM(C97:C114)</f>
        <v>0</v>
      </c>
      <c r="D96" s="144">
        <f t="shared" ref="D96:J96" si="8">SUM(D97:D114)</f>
        <v>0</v>
      </c>
      <c r="E96" s="144">
        <f t="shared" si="8"/>
        <v>0</v>
      </c>
      <c r="F96" s="144">
        <f t="shared" si="8"/>
        <v>0</v>
      </c>
      <c r="G96" s="144">
        <f t="shared" si="8"/>
        <v>0</v>
      </c>
      <c r="H96" s="144">
        <f t="shared" si="8"/>
        <v>0</v>
      </c>
      <c r="I96" s="144">
        <f t="shared" si="8"/>
        <v>0</v>
      </c>
      <c r="J96" s="144">
        <f t="shared" si="8"/>
        <v>0</v>
      </c>
    </row>
    <row r="97" spans="1:10" ht="15.75" thickBot="1" x14ac:dyDescent="0.3">
      <c r="A97" s="8">
        <v>86</v>
      </c>
      <c r="B97" s="10" t="s">
        <v>497</v>
      </c>
      <c r="C97" s="53"/>
      <c r="D97" s="53"/>
      <c r="E97" s="53"/>
      <c r="F97" s="53"/>
      <c r="G97" s="53"/>
      <c r="H97" s="53"/>
      <c r="I97" s="53"/>
      <c r="J97" s="53"/>
    </row>
    <row r="98" spans="1:10" ht="15.75" thickBot="1" x14ac:dyDescent="0.3">
      <c r="A98" s="8">
        <v>87</v>
      </c>
      <c r="B98" s="10" t="s">
        <v>498</v>
      </c>
      <c r="C98" s="53"/>
      <c r="D98" s="53"/>
      <c r="E98" s="53"/>
      <c r="F98" s="53"/>
      <c r="G98" s="53"/>
      <c r="H98" s="53"/>
      <c r="I98" s="53"/>
      <c r="J98" s="53"/>
    </row>
    <row r="99" spans="1:10" ht="15.75" thickBot="1" x14ac:dyDescent="0.3">
      <c r="A99" s="8">
        <v>88</v>
      </c>
      <c r="B99" s="10" t="s">
        <v>499</v>
      </c>
      <c r="C99" s="53"/>
      <c r="D99" s="53"/>
      <c r="E99" s="53"/>
      <c r="F99" s="53"/>
      <c r="G99" s="53"/>
      <c r="H99" s="53"/>
      <c r="I99" s="53"/>
      <c r="J99" s="53"/>
    </row>
    <row r="100" spans="1:10" ht="15.75" thickBot="1" x14ac:dyDescent="0.3">
      <c r="A100" s="8">
        <v>89</v>
      </c>
      <c r="B100" s="10" t="s">
        <v>500</v>
      </c>
      <c r="C100" s="53"/>
      <c r="D100" s="53"/>
      <c r="E100" s="53"/>
      <c r="F100" s="53"/>
      <c r="G100" s="53"/>
      <c r="H100" s="53"/>
      <c r="I100" s="53"/>
      <c r="J100" s="53"/>
    </row>
    <row r="101" spans="1:10" ht="26.25" thickBot="1" x14ac:dyDescent="0.3">
      <c r="A101" s="142"/>
      <c r="B101" s="55" t="s">
        <v>246</v>
      </c>
      <c r="C101" s="56">
        <f>SUM(C3,C15,C26,C33,C48,C57,C65,C77,)</f>
        <v>0</v>
      </c>
      <c r="D101" s="56">
        <f t="shared" ref="D101:J101" si="9">SUM(D3,D15,D26,D33,D48,D57,D65,D77,)</f>
        <v>0</v>
      </c>
      <c r="E101" s="56">
        <f t="shared" si="9"/>
        <v>0</v>
      </c>
      <c r="F101" s="56">
        <f t="shared" si="9"/>
        <v>0</v>
      </c>
      <c r="G101" s="56">
        <f t="shared" si="9"/>
        <v>0</v>
      </c>
      <c r="H101" s="56">
        <f t="shared" si="9"/>
        <v>0</v>
      </c>
      <c r="I101" s="56">
        <f t="shared" si="9"/>
        <v>0</v>
      </c>
      <c r="J101" s="56">
        <f t="shared" si="9"/>
        <v>0</v>
      </c>
    </row>
    <row r="104" spans="1:10" x14ac:dyDescent="0.25">
      <c r="A104"/>
    </row>
    <row r="106" spans="1:10" x14ac:dyDescent="0.25">
      <c r="A106" s="3"/>
    </row>
    <row r="107" spans="1:10" x14ac:dyDescent="0.25">
      <c r="A107" s="3"/>
    </row>
  </sheetData>
  <mergeCells count="6">
    <mergeCell ref="I1:J1"/>
    <mergeCell ref="A1:A2"/>
    <mergeCell ref="B1:B2"/>
    <mergeCell ref="C1:D1"/>
    <mergeCell ref="E1:F1"/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1"/>
  <sheetViews>
    <sheetView topLeftCell="B1" workbookViewId="0">
      <selection activeCell="K2" sqref="K2"/>
    </sheetView>
  </sheetViews>
  <sheetFormatPr defaultRowHeight="15" x14ac:dyDescent="0.25"/>
  <cols>
    <col min="2" max="2" width="8.140625" style="13" customWidth="1"/>
    <col min="3" max="3" width="26.140625" customWidth="1"/>
    <col min="4" max="11" width="12" customWidth="1"/>
  </cols>
  <sheetData>
    <row r="1" spans="2:11" ht="64.150000000000006" customHeight="1" thickBot="1" x14ac:dyDescent="0.3">
      <c r="B1" s="247" t="s">
        <v>496</v>
      </c>
      <c r="C1" s="260" t="s">
        <v>103</v>
      </c>
      <c r="D1" s="256" t="s">
        <v>582</v>
      </c>
      <c r="E1" s="257"/>
      <c r="F1" s="256" t="s">
        <v>583</v>
      </c>
      <c r="G1" s="257"/>
      <c r="H1" s="256" t="s">
        <v>584</v>
      </c>
      <c r="I1" s="257"/>
      <c r="J1" s="256" t="s">
        <v>585</v>
      </c>
      <c r="K1" s="257"/>
    </row>
    <row r="2" spans="2:11" ht="20.45" customHeight="1" thickBot="1" x14ac:dyDescent="0.3">
      <c r="B2" s="248"/>
      <c r="C2" s="260"/>
      <c r="D2" s="182" t="s">
        <v>227</v>
      </c>
      <c r="E2" s="61" t="s">
        <v>575</v>
      </c>
      <c r="F2" s="182" t="s">
        <v>227</v>
      </c>
      <c r="G2" s="182" t="s">
        <v>575</v>
      </c>
      <c r="H2" s="182" t="s">
        <v>227</v>
      </c>
      <c r="I2" s="182" t="s">
        <v>575</v>
      </c>
      <c r="J2" s="182" t="s">
        <v>227</v>
      </c>
      <c r="K2" s="182" t="s">
        <v>575</v>
      </c>
    </row>
    <row r="3" spans="2:11" ht="18" customHeight="1" thickBot="1" x14ac:dyDescent="0.3">
      <c r="B3" s="7"/>
      <c r="C3" s="51" t="s">
        <v>113</v>
      </c>
      <c r="D3" s="52">
        <f>SUM(D4:D14)</f>
        <v>0</v>
      </c>
      <c r="E3" s="52">
        <f t="shared" ref="E3:K3" si="0">SUM(E4:E14)</f>
        <v>0</v>
      </c>
      <c r="F3" s="52">
        <f t="shared" si="0"/>
        <v>0</v>
      </c>
      <c r="G3" s="52">
        <f t="shared" si="0"/>
        <v>0</v>
      </c>
      <c r="H3" s="52">
        <f t="shared" si="0"/>
        <v>0</v>
      </c>
      <c r="I3" s="52">
        <f t="shared" si="0"/>
        <v>0</v>
      </c>
      <c r="J3" s="52">
        <f t="shared" si="0"/>
        <v>0</v>
      </c>
      <c r="K3" s="52">
        <f t="shared" si="0"/>
        <v>0</v>
      </c>
    </row>
    <row r="4" spans="2:11" ht="20.45" customHeight="1" thickBot="1" x14ac:dyDescent="0.3">
      <c r="B4" s="8">
        <v>1</v>
      </c>
      <c r="C4" s="53" t="s">
        <v>18</v>
      </c>
      <c r="D4" s="53"/>
      <c r="E4" s="53"/>
      <c r="F4" s="53"/>
      <c r="G4" s="53"/>
      <c r="H4" s="53"/>
      <c r="I4" s="53"/>
      <c r="J4" s="53"/>
      <c r="K4" s="53"/>
    </row>
    <row r="5" spans="2:11" ht="20.45" customHeight="1" thickBot="1" x14ac:dyDescent="0.3">
      <c r="B5" s="8">
        <v>2</v>
      </c>
      <c r="C5" s="53" t="s">
        <v>19</v>
      </c>
      <c r="D5" s="53"/>
      <c r="E5" s="53"/>
      <c r="F5" s="53"/>
      <c r="G5" s="53"/>
      <c r="H5" s="53"/>
      <c r="I5" s="53"/>
      <c r="J5" s="53"/>
      <c r="K5" s="53"/>
    </row>
    <row r="6" spans="2:11" ht="20.45" customHeight="1" thickBot="1" x14ac:dyDescent="0.3">
      <c r="B6" s="8">
        <v>3</v>
      </c>
      <c r="C6" s="53" t="s">
        <v>20</v>
      </c>
      <c r="D6" s="53"/>
      <c r="E6" s="53"/>
      <c r="F6" s="53"/>
      <c r="G6" s="53"/>
      <c r="H6" s="53"/>
      <c r="I6" s="53"/>
      <c r="J6" s="53"/>
      <c r="K6" s="53"/>
    </row>
    <row r="7" spans="2:11" ht="20.45" customHeight="1" thickBot="1" x14ac:dyDescent="0.3">
      <c r="B7" s="8">
        <v>4</v>
      </c>
      <c r="C7" s="53" t="s">
        <v>21</v>
      </c>
      <c r="D7" s="53"/>
      <c r="E7" s="53"/>
      <c r="F7" s="53"/>
      <c r="G7" s="53"/>
      <c r="H7" s="53"/>
      <c r="I7" s="53"/>
      <c r="J7" s="53"/>
      <c r="K7" s="53"/>
    </row>
    <row r="8" spans="2:11" ht="20.45" customHeight="1" thickBot="1" x14ac:dyDescent="0.3">
      <c r="B8" s="8">
        <v>5</v>
      </c>
      <c r="C8" s="53" t="s">
        <v>22</v>
      </c>
      <c r="D8" s="53"/>
      <c r="E8" s="53"/>
      <c r="F8" s="53"/>
      <c r="G8" s="53"/>
      <c r="H8" s="53"/>
      <c r="I8" s="53"/>
      <c r="J8" s="53"/>
      <c r="K8" s="53"/>
    </row>
    <row r="9" spans="2:11" ht="20.45" customHeight="1" thickBot="1" x14ac:dyDescent="0.3">
      <c r="B9" s="8">
        <v>6</v>
      </c>
      <c r="C9" s="53" t="s">
        <v>23</v>
      </c>
      <c r="D9" s="53"/>
      <c r="E9" s="53"/>
      <c r="F9" s="53"/>
      <c r="G9" s="53"/>
      <c r="H9" s="53"/>
      <c r="I9" s="53"/>
      <c r="J9" s="53"/>
      <c r="K9" s="53"/>
    </row>
    <row r="10" spans="2:11" ht="20.45" customHeight="1" thickBot="1" x14ac:dyDescent="0.3">
      <c r="B10" s="8">
        <v>7</v>
      </c>
      <c r="C10" s="53" t="s">
        <v>24</v>
      </c>
      <c r="D10" s="53"/>
      <c r="E10" s="53"/>
      <c r="F10" s="53"/>
      <c r="G10" s="53"/>
      <c r="H10" s="53"/>
      <c r="I10" s="53"/>
      <c r="J10" s="53"/>
      <c r="K10" s="53"/>
    </row>
    <row r="11" spans="2:11" ht="20.45" customHeight="1" thickBot="1" x14ac:dyDescent="0.3">
      <c r="B11" s="8">
        <v>8</v>
      </c>
      <c r="C11" s="53" t="s">
        <v>25</v>
      </c>
      <c r="D11" s="53"/>
      <c r="E11" s="53"/>
      <c r="F11" s="53"/>
      <c r="G11" s="53"/>
      <c r="H11" s="53"/>
      <c r="I11" s="53"/>
      <c r="J11" s="53"/>
      <c r="K11" s="53"/>
    </row>
    <row r="12" spans="2:11" ht="20.45" customHeight="1" thickBot="1" x14ac:dyDescent="0.3">
      <c r="B12" s="8">
        <v>9</v>
      </c>
      <c r="C12" s="53" t="s">
        <v>26</v>
      </c>
      <c r="D12" s="53"/>
      <c r="E12" s="53"/>
      <c r="F12" s="53"/>
      <c r="G12" s="53"/>
      <c r="H12" s="53"/>
      <c r="I12" s="53"/>
      <c r="J12" s="53"/>
      <c r="K12" s="53"/>
    </row>
    <row r="13" spans="2:11" ht="20.45" customHeight="1" thickBot="1" x14ac:dyDescent="0.3">
      <c r="B13" s="8">
        <v>10</v>
      </c>
      <c r="C13" s="53" t="s">
        <v>27</v>
      </c>
      <c r="D13" s="53"/>
      <c r="E13" s="53"/>
      <c r="F13" s="53"/>
      <c r="G13" s="53"/>
      <c r="H13" s="53"/>
      <c r="I13" s="53"/>
      <c r="J13" s="53"/>
      <c r="K13" s="53"/>
    </row>
    <row r="14" spans="2:11" ht="20.45" customHeight="1" thickBot="1" x14ac:dyDescent="0.3">
      <c r="B14" s="8">
        <v>11</v>
      </c>
      <c r="C14" s="53" t="s">
        <v>28</v>
      </c>
      <c r="D14" s="53"/>
      <c r="E14" s="53"/>
      <c r="F14" s="53"/>
      <c r="G14" s="53"/>
      <c r="H14" s="53"/>
      <c r="I14" s="53"/>
      <c r="J14" s="53"/>
      <c r="K14" s="53"/>
    </row>
    <row r="15" spans="2:11" ht="20.45" customHeight="1" thickBot="1" x14ac:dyDescent="0.3">
      <c r="B15" s="9"/>
      <c r="C15" s="51" t="s">
        <v>115</v>
      </c>
      <c r="D15" s="52">
        <f>SUM(D16:D25)</f>
        <v>0</v>
      </c>
      <c r="E15" s="52">
        <f t="shared" ref="E15:K15" si="1">SUM(E16:E25)</f>
        <v>0</v>
      </c>
      <c r="F15" s="52">
        <f t="shared" si="1"/>
        <v>0</v>
      </c>
      <c r="G15" s="52">
        <f t="shared" si="1"/>
        <v>0</v>
      </c>
      <c r="H15" s="52">
        <f t="shared" si="1"/>
        <v>0</v>
      </c>
      <c r="I15" s="52">
        <f t="shared" si="1"/>
        <v>0</v>
      </c>
      <c r="J15" s="52">
        <f t="shared" si="1"/>
        <v>0</v>
      </c>
      <c r="K15" s="52">
        <f t="shared" si="1"/>
        <v>0</v>
      </c>
    </row>
    <row r="16" spans="2:11" ht="20.45" customHeight="1" thickBot="1" x14ac:dyDescent="0.3">
      <c r="B16" s="8">
        <v>12</v>
      </c>
      <c r="C16" s="53" t="s">
        <v>29</v>
      </c>
      <c r="D16" s="53"/>
      <c r="E16" s="53"/>
      <c r="F16" s="53"/>
      <c r="G16" s="53"/>
      <c r="H16" s="53"/>
      <c r="I16" s="53"/>
      <c r="J16" s="53"/>
      <c r="K16" s="53"/>
    </row>
    <row r="17" spans="2:11" ht="20.45" customHeight="1" thickBot="1" x14ac:dyDescent="0.3">
      <c r="B17" s="8">
        <v>13</v>
      </c>
      <c r="C17" s="53" t="s">
        <v>30</v>
      </c>
      <c r="D17" s="53"/>
      <c r="E17" s="53"/>
      <c r="F17" s="53"/>
      <c r="G17" s="53"/>
      <c r="H17" s="53"/>
      <c r="I17" s="53"/>
      <c r="J17" s="53"/>
      <c r="K17" s="53"/>
    </row>
    <row r="18" spans="2:11" ht="20.45" customHeight="1" thickBot="1" x14ac:dyDescent="0.3">
      <c r="B18" s="8">
        <v>14</v>
      </c>
      <c r="C18" s="53" t="s">
        <v>31</v>
      </c>
      <c r="D18" s="53"/>
      <c r="E18" s="53"/>
      <c r="F18" s="53"/>
      <c r="G18" s="53"/>
      <c r="H18" s="53"/>
      <c r="I18" s="53"/>
      <c r="J18" s="53"/>
      <c r="K18" s="53"/>
    </row>
    <row r="19" spans="2:11" ht="20.45" customHeight="1" thickBot="1" x14ac:dyDescent="0.3">
      <c r="B19" s="8">
        <v>15</v>
      </c>
      <c r="C19" s="54" t="s">
        <v>32</v>
      </c>
      <c r="D19" s="53"/>
      <c r="E19" s="53"/>
      <c r="F19" s="53"/>
      <c r="G19" s="53"/>
      <c r="H19" s="53"/>
      <c r="I19" s="53"/>
      <c r="J19" s="53"/>
      <c r="K19" s="53"/>
    </row>
    <row r="20" spans="2:11" ht="20.45" customHeight="1" thickBot="1" x14ac:dyDescent="0.3">
      <c r="B20" s="8">
        <v>16</v>
      </c>
      <c r="C20" s="53" t="s">
        <v>33</v>
      </c>
      <c r="D20" s="53"/>
      <c r="E20" s="53"/>
      <c r="F20" s="53"/>
      <c r="G20" s="53"/>
      <c r="H20" s="53"/>
      <c r="I20" s="53"/>
      <c r="J20" s="53"/>
      <c r="K20" s="53"/>
    </row>
    <row r="21" spans="2:11" ht="20.45" customHeight="1" thickBot="1" x14ac:dyDescent="0.3">
      <c r="B21" s="8">
        <v>17</v>
      </c>
      <c r="C21" s="53" t="s">
        <v>34</v>
      </c>
      <c r="D21" s="53"/>
      <c r="E21" s="53"/>
      <c r="F21" s="53"/>
      <c r="G21" s="53"/>
      <c r="H21" s="53"/>
      <c r="I21" s="53"/>
      <c r="J21" s="53"/>
      <c r="K21" s="53"/>
    </row>
    <row r="22" spans="2:11" ht="20.45" customHeight="1" thickBot="1" x14ac:dyDescent="0.3">
      <c r="B22" s="8">
        <v>18</v>
      </c>
      <c r="C22" s="53" t="s">
        <v>35</v>
      </c>
      <c r="D22" s="53"/>
      <c r="E22" s="53"/>
      <c r="F22" s="53"/>
      <c r="G22" s="53"/>
      <c r="H22" s="53"/>
      <c r="I22" s="53"/>
      <c r="J22" s="53"/>
      <c r="K22" s="53"/>
    </row>
    <row r="23" spans="2:11" ht="20.45" customHeight="1" thickBot="1" x14ac:dyDescent="0.3">
      <c r="B23" s="8">
        <v>19</v>
      </c>
      <c r="C23" s="53" t="s">
        <v>36</v>
      </c>
      <c r="D23" s="53"/>
      <c r="E23" s="53"/>
      <c r="F23" s="53"/>
      <c r="G23" s="53"/>
      <c r="H23" s="53"/>
      <c r="I23" s="53"/>
      <c r="J23" s="53"/>
      <c r="K23" s="53"/>
    </row>
    <row r="24" spans="2:11" ht="20.45" customHeight="1" thickBot="1" x14ac:dyDescent="0.3">
      <c r="B24" s="8">
        <v>20</v>
      </c>
      <c r="C24" s="53" t="s">
        <v>37</v>
      </c>
      <c r="D24" s="53"/>
      <c r="E24" s="53"/>
      <c r="F24" s="53"/>
      <c r="G24" s="53"/>
      <c r="H24" s="53"/>
      <c r="I24" s="53"/>
      <c r="J24" s="53"/>
      <c r="K24" s="53"/>
    </row>
    <row r="25" spans="2:11" ht="20.45" customHeight="1" thickBot="1" x14ac:dyDescent="0.3">
      <c r="B25" s="8">
        <v>21</v>
      </c>
      <c r="C25" s="53" t="s">
        <v>38</v>
      </c>
      <c r="D25" s="53"/>
      <c r="E25" s="53"/>
      <c r="F25" s="53"/>
      <c r="G25" s="53"/>
      <c r="H25" s="53"/>
      <c r="I25" s="53"/>
      <c r="J25" s="53"/>
      <c r="K25" s="53"/>
    </row>
    <row r="26" spans="2:11" ht="20.45" customHeight="1" thickBot="1" x14ac:dyDescent="0.3">
      <c r="B26" s="9"/>
      <c r="C26" s="51" t="s">
        <v>116</v>
      </c>
      <c r="D26" s="52">
        <f>SUM(D27:D32)</f>
        <v>0</v>
      </c>
      <c r="E26" s="52">
        <f t="shared" ref="E26:K26" si="2">SUM(E27:E32)</f>
        <v>0</v>
      </c>
      <c r="F26" s="52">
        <f t="shared" si="2"/>
        <v>0</v>
      </c>
      <c r="G26" s="52">
        <f t="shared" si="2"/>
        <v>0</v>
      </c>
      <c r="H26" s="52">
        <f t="shared" si="2"/>
        <v>0</v>
      </c>
      <c r="I26" s="52">
        <f t="shared" si="2"/>
        <v>0</v>
      </c>
      <c r="J26" s="52">
        <f t="shared" si="2"/>
        <v>0</v>
      </c>
      <c r="K26" s="52">
        <f t="shared" si="2"/>
        <v>0</v>
      </c>
    </row>
    <row r="27" spans="2:11" ht="20.45" customHeight="1" thickBot="1" x14ac:dyDescent="0.3">
      <c r="B27" s="8">
        <v>22</v>
      </c>
      <c r="C27" s="53" t="s">
        <v>39</v>
      </c>
      <c r="D27" s="53"/>
      <c r="E27" s="53"/>
      <c r="F27" s="53"/>
      <c r="G27" s="53"/>
      <c r="H27" s="53"/>
      <c r="I27" s="53"/>
      <c r="J27" s="53"/>
      <c r="K27" s="53"/>
    </row>
    <row r="28" spans="2:11" ht="20.45" customHeight="1" thickBot="1" x14ac:dyDescent="0.3">
      <c r="B28" s="8">
        <v>23</v>
      </c>
      <c r="C28" s="53" t="s">
        <v>40</v>
      </c>
      <c r="D28" s="53"/>
      <c r="E28" s="53"/>
      <c r="F28" s="53"/>
      <c r="G28" s="53"/>
      <c r="H28" s="53"/>
      <c r="I28" s="53"/>
      <c r="J28" s="53"/>
      <c r="K28" s="53"/>
    </row>
    <row r="29" spans="2:11" ht="20.45" customHeight="1" thickBot="1" x14ac:dyDescent="0.3">
      <c r="B29" s="8">
        <v>24</v>
      </c>
      <c r="C29" s="53" t="s">
        <v>41</v>
      </c>
      <c r="D29" s="53"/>
      <c r="E29" s="53"/>
      <c r="F29" s="53"/>
      <c r="G29" s="53"/>
      <c r="H29" s="53"/>
      <c r="I29" s="53"/>
      <c r="J29" s="53"/>
      <c r="K29" s="53"/>
    </row>
    <row r="30" spans="2:11" ht="20.45" customHeight="1" thickBot="1" x14ac:dyDescent="0.3">
      <c r="B30" s="8">
        <v>25</v>
      </c>
      <c r="C30" s="53" t="s">
        <v>42</v>
      </c>
      <c r="D30" s="53"/>
      <c r="E30" s="53"/>
      <c r="F30" s="53"/>
      <c r="G30" s="53"/>
      <c r="H30" s="53"/>
      <c r="I30" s="53"/>
      <c r="J30" s="53"/>
      <c r="K30" s="53"/>
    </row>
    <row r="31" spans="2:11" ht="26.25" thickBot="1" x14ac:dyDescent="0.3">
      <c r="B31" s="8">
        <v>26</v>
      </c>
      <c r="C31" s="53" t="s">
        <v>43</v>
      </c>
      <c r="D31" s="53"/>
      <c r="E31" s="53"/>
      <c r="F31" s="53"/>
      <c r="G31" s="53"/>
      <c r="H31" s="53"/>
      <c r="I31" s="53"/>
      <c r="J31" s="53"/>
      <c r="K31" s="53"/>
    </row>
    <row r="32" spans="2:11" ht="26.25" thickBot="1" x14ac:dyDescent="0.3">
      <c r="B32" s="8">
        <v>27</v>
      </c>
      <c r="C32" s="53" t="s">
        <v>44</v>
      </c>
      <c r="D32" s="53"/>
      <c r="E32" s="53"/>
      <c r="F32" s="53"/>
      <c r="G32" s="53"/>
      <c r="H32" s="53"/>
      <c r="I32" s="53"/>
      <c r="J32" s="53"/>
      <c r="K32" s="53"/>
    </row>
    <row r="33" spans="2:11" ht="20.45" customHeight="1" thickBot="1" x14ac:dyDescent="0.3">
      <c r="B33" s="7"/>
      <c r="C33" s="51" t="s">
        <v>117</v>
      </c>
      <c r="D33" s="52">
        <f>SUM(D34:D47)</f>
        <v>0</v>
      </c>
      <c r="E33" s="52">
        <f t="shared" ref="E33:K33" si="3">SUM(E34:E47)</f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  <c r="I33" s="52">
        <f t="shared" si="3"/>
        <v>0</v>
      </c>
      <c r="J33" s="52">
        <f t="shared" si="3"/>
        <v>0</v>
      </c>
      <c r="K33" s="52">
        <f t="shared" si="3"/>
        <v>0</v>
      </c>
    </row>
    <row r="34" spans="2:11" ht="20.45" customHeight="1" thickBot="1" x14ac:dyDescent="0.3">
      <c r="B34" s="10">
        <v>28</v>
      </c>
      <c r="C34" s="54" t="s">
        <v>45</v>
      </c>
      <c r="D34" s="53"/>
      <c r="E34" s="53"/>
      <c r="F34" s="53"/>
      <c r="G34" s="53"/>
      <c r="H34" s="53"/>
      <c r="I34" s="53"/>
      <c r="J34" s="53"/>
      <c r="K34" s="53"/>
    </row>
    <row r="35" spans="2:11" ht="20.45" customHeight="1" thickBot="1" x14ac:dyDescent="0.3">
      <c r="B35" s="10">
        <v>29</v>
      </c>
      <c r="C35" s="54" t="s">
        <v>46</v>
      </c>
      <c r="D35" s="53"/>
      <c r="E35" s="53"/>
      <c r="F35" s="53"/>
      <c r="G35" s="53"/>
      <c r="H35" s="53"/>
      <c r="I35" s="53"/>
      <c r="J35" s="53"/>
      <c r="K35" s="53"/>
    </row>
    <row r="36" spans="2:11" ht="20.45" customHeight="1" thickBot="1" x14ac:dyDescent="0.3">
      <c r="B36" s="10">
        <v>30</v>
      </c>
      <c r="C36" s="54" t="s">
        <v>47</v>
      </c>
      <c r="D36" s="53"/>
      <c r="E36" s="53"/>
      <c r="F36" s="53"/>
      <c r="G36" s="53"/>
      <c r="H36" s="53"/>
      <c r="I36" s="53"/>
      <c r="J36" s="53"/>
      <c r="K36" s="53"/>
    </row>
    <row r="37" spans="2:11" ht="20.45" customHeight="1" thickBot="1" x14ac:dyDescent="0.3">
      <c r="B37" s="10">
        <v>31</v>
      </c>
      <c r="C37" s="54" t="s">
        <v>48</v>
      </c>
      <c r="D37" s="53"/>
      <c r="E37" s="53"/>
      <c r="F37" s="53"/>
      <c r="G37" s="53"/>
      <c r="H37" s="53"/>
      <c r="I37" s="53"/>
      <c r="J37" s="53"/>
      <c r="K37" s="53"/>
    </row>
    <row r="38" spans="2:11" ht="20.45" customHeight="1" thickBot="1" x14ac:dyDescent="0.3">
      <c r="B38" s="10">
        <v>32</v>
      </c>
      <c r="C38" s="54" t="s">
        <v>49</v>
      </c>
      <c r="D38" s="53"/>
      <c r="E38" s="53"/>
      <c r="F38" s="53"/>
      <c r="G38" s="53"/>
      <c r="H38" s="53"/>
      <c r="I38" s="53"/>
      <c r="J38" s="53"/>
      <c r="K38" s="53"/>
    </row>
    <row r="39" spans="2:11" ht="28.5" customHeight="1" thickBot="1" x14ac:dyDescent="0.3">
      <c r="B39" s="10">
        <v>33</v>
      </c>
      <c r="C39" s="53" t="s">
        <v>503</v>
      </c>
      <c r="D39" s="53"/>
      <c r="E39" s="53"/>
      <c r="F39" s="53"/>
      <c r="G39" s="53"/>
      <c r="H39" s="53"/>
      <c r="I39" s="53"/>
      <c r="J39" s="53"/>
      <c r="K39" s="53"/>
    </row>
    <row r="40" spans="2:11" ht="20.45" customHeight="1" thickBot="1" x14ac:dyDescent="0.3">
      <c r="B40" s="10">
        <v>34</v>
      </c>
      <c r="C40" s="54" t="s">
        <v>51</v>
      </c>
      <c r="D40" s="53"/>
      <c r="E40" s="53"/>
      <c r="F40" s="53"/>
      <c r="G40" s="53"/>
      <c r="H40" s="53"/>
      <c r="I40" s="53"/>
      <c r="J40" s="53"/>
      <c r="K40" s="53"/>
    </row>
    <row r="41" spans="2:11" ht="20.45" customHeight="1" thickBot="1" x14ac:dyDescent="0.3">
      <c r="B41" s="10">
        <v>35</v>
      </c>
      <c r="C41" s="54" t="s">
        <v>52</v>
      </c>
      <c r="D41" s="53"/>
      <c r="E41" s="53"/>
      <c r="F41" s="53"/>
      <c r="G41" s="53"/>
      <c r="H41" s="53"/>
      <c r="I41" s="53"/>
      <c r="J41" s="53"/>
      <c r="K41" s="53"/>
    </row>
    <row r="42" spans="2:11" ht="20.45" customHeight="1" thickBot="1" x14ac:dyDescent="0.3">
      <c r="B42" s="10">
        <v>36</v>
      </c>
      <c r="C42" s="54" t="s">
        <v>53</v>
      </c>
      <c r="D42" s="53"/>
      <c r="E42" s="53"/>
      <c r="F42" s="53"/>
      <c r="G42" s="53"/>
      <c r="H42" s="53"/>
      <c r="I42" s="53"/>
      <c r="J42" s="53"/>
      <c r="K42" s="53"/>
    </row>
    <row r="43" spans="2:11" ht="20.45" customHeight="1" thickBot="1" x14ac:dyDescent="0.3">
      <c r="B43" s="10">
        <v>37</v>
      </c>
      <c r="C43" s="54" t="s">
        <v>54</v>
      </c>
      <c r="D43" s="53"/>
      <c r="E43" s="53"/>
      <c r="F43" s="53"/>
      <c r="G43" s="53"/>
      <c r="H43" s="53"/>
      <c r="I43" s="53"/>
      <c r="J43" s="53"/>
      <c r="K43" s="53"/>
    </row>
    <row r="44" spans="2:11" ht="20.45" customHeight="1" thickBot="1" x14ac:dyDescent="0.3">
      <c r="B44" s="10">
        <v>38</v>
      </c>
      <c r="C44" s="54" t="s">
        <v>55</v>
      </c>
      <c r="D44" s="53"/>
      <c r="E44" s="53"/>
      <c r="F44" s="53"/>
      <c r="G44" s="53"/>
      <c r="H44" s="53"/>
      <c r="I44" s="53"/>
      <c r="J44" s="53"/>
      <c r="K44" s="53"/>
    </row>
    <row r="45" spans="2:11" ht="20.45" customHeight="1" thickBot="1" x14ac:dyDescent="0.3">
      <c r="B45" s="10">
        <v>39</v>
      </c>
      <c r="C45" s="54" t="s">
        <v>56</v>
      </c>
      <c r="D45" s="53"/>
      <c r="E45" s="53"/>
      <c r="F45" s="53"/>
      <c r="G45" s="53"/>
      <c r="H45" s="53"/>
      <c r="I45" s="53"/>
      <c r="J45" s="53"/>
      <c r="K45" s="53"/>
    </row>
    <row r="46" spans="2:11" ht="20.45" customHeight="1" thickBot="1" x14ac:dyDescent="0.3">
      <c r="B46" s="10">
        <v>40</v>
      </c>
      <c r="C46" s="54" t="s">
        <v>57</v>
      </c>
      <c r="D46" s="53"/>
      <c r="E46" s="53"/>
      <c r="F46" s="53"/>
      <c r="G46" s="53"/>
      <c r="H46" s="53"/>
      <c r="I46" s="53"/>
      <c r="J46" s="53"/>
      <c r="K46" s="53"/>
    </row>
    <row r="47" spans="2:11" ht="20.45" customHeight="1" thickBot="1" x14ac:dyDescent="0.3">
      <c r="B47" s="10">
        <v>41</v>
      </c>
      <c r="C47" s="54" t="s">
        <v>58</v>
      </c>
      <c r="D47" s="53"/>
      <c r="E47" s="53"/>
      <c r="F47" s="53"/>
      <c r="G47" s="53"/>
      <c r="H47" s="53"/>
      <c r="I47" s="53"/>
      <c r="J47" s="53"/>
      <c r="K47" s="53"/>
    </row>
    <row r="48" spans="2:11" ht="20.45" customHeight="1" thickBot="1" x14ac:dyDescent="0.3">
      <c r="B48" s="7"/>
      <c r="C48" s="51" t="s">
        <v>118</v>
      </c>
      <c r="D48" s="52">
        <f>SUM(D49:D56)</f>
        <v>0</v>
      </c>
      <c r="E48" s="52">
        <f t="shared" ref="E48:K48" si="4">SUM(E49:E56)</f>
        <v>0</v>
      </c>
      <c r="F48" s="52">
        <f t="shared" si="4"/>
        <v>0</v>
      </c>
      <c r="G48" s="52">
        <f t="shared" si="4"/>
        <v>0</v>
      </c>
      <c r="H48" s="52">
        <f t="shared" si="4"/>
        <v>0</v>
      </c>
      <c r="I48" s="52">
        <f t="shared" si="4"/>
        <v>0</v>
      </c>
      <c r="J48" s="52">
        <f t="shared" si="4"/>
        <v>0</v>
      </c>
      <c r="K48" s="52">
        <f t="shared" si="4"/>
        <v>0</v>
      </c>
    </row>
    <row r="49" spans="2:11" ht="20.45" customHeight="1" thickBot="1" x14ac:dyDescent="0.3">
      <c r="B49" s="8">
        <v>42</v>
      </c>
      <c r="C49" s="53" t="s">
        <v>59</v>
      </c>
      <c r="D49" s="53"/>
      <c r="E49" s="53"/>
      <c r="F49" s="53"/>
      <c r="G49" s="53"/>
      <c r="H49" s="53"/>
      <c r="I49" s="53"/>
      <c r="J49" s="53"/>
      <c r="K49" s="53"/>
    </row>
    <row r="50" spans="2:11" ht="20.45" customHeight="1" thickBot="1" x14ac:dyDescent="0.3">
      <c r="B50" s="8">
        <v>43</v>
      </c>
      <c r="C50" s="53" t="s">
        <v>60</v>
      </c>
      <c r="D50" s="53"/>
      <c r="E50" s="53"/>
      <c r="F50" s="53"/>
      <c r="G50" s="53"/>
      <c r="H50" s="53"/>
      <c r="I50" s="53"/>
      <c r="J50" s="53"/>
      <c r="K50" s="53"/>
    </row>
    <row r="51" spans="2:11" ht="20.45" customHeight="1" thickBot="1" x14ac:dyDescent="0.3">
      <c r="B51" s="8">
        <v>44</v>
      </c>
      <c r="C51" s="54" t="s">
        <v>61</v>
      </c>
      <c r="D51" s="53"/>
      <c r="E51" s="53"/>
      <c r="F51" s="53"/>
      <c r="G51" s="53"/>
      <c r="H51" s="53"/>
      <c r="I51" s="53"/>
      <c r="J51" s="53"/>
      <c r="K51" s="53"/>
    </row>
    <row r="52" spans="2:11" ht="20.45" customHeight="1" thickBot="1" x14ac:dyDescent="0.3">
      <c r="B52" s="8">
        <v>45</v>
      </c>
      <c r="C52" s="53" t="s">
        <v>62</v>
      </c>
      <c r="D52" s="53"/>
      <c r="E52" s="53"/>
      <c r="F52" s="53"/>
      <c r="G52" s="53"/>
      <c r="H52" s="53"/>
      <c r="I52" s="53"/>
      <c r="J52" s="53"/>
      <c r="K52" s="53"/>
    </row>
    <row r="53" spans="2:11" ht="20.45" customHeight="1" thickBot="1" x14ac:dyDescent="0.3">
      <c r="B53" s="8">
        <v>46</v>
      </c>
      <c r="C53" s="53" t="s">
        <v>63</v>
      </c>
      <c r="D53" s="53"/>
      <c r="E53" s="53"/>
      <c r="F53" s="53"/>
      <c r="G53" s="53"/>
      <c r="H53" s="53"/>
      <c r="I53" s="53"/>
      <c r="J53" s="53"/>
      <c r="K53" s="53"/>
    </row>
    <row r="54" spans="2:11" ht="20.45" customHeight="1" thickBot="1" x14ac:dyDescent="0.3">
      <c r="B54" s="8">
        <v>47</v>
      </c>
      <c r="C54" s="53" t="s">
        <v>64</v>
      </c>
      <c r="D54" s="53"/>
      <c r="E54" s="53"/>
      <c r="F54" s="53"/>
      <c r="G54" s="53"/>
      <c r="H54" s="53"/>
      <c r="I54" s="53"/>
      <c r="J54" s="53"/>
      <c r="K54" s="53"/>
    </row>
    <row r="55" spans="2:11" ht="20.45" customHeight="1" thickBot="1" x14ac:dyDescent="0.3">
      <c r="B55" s="8">
        <v>48</v>
      </c>
      <c r="C55" s="53" t="s">
        <v>65</v>
      </c>
      <c r="D55" s="53"/>
      <c r="E55" s="53"/>
      <c r="F55" s="53"/>
      <c r="G55" s="53"/>
      <c r="H55" s="53"/>
      <c r="I55" s="53"/>
      <c r="J55" s="53"/>
      <c r="K55" s="53"/>
    </row>
    <row r="56" spans="2:11" ht="20.45" customHeight="1" thickBot="1" x14ac:dyDescent="0.3">
      <c r="B56" s="8">
        <v>49</v>
      </c>
      <c r="C56" s="54" t="s">
        <v>66</v>
      </c>
      <c r="D56" s="53"/>
      <c r="E56" s="53"/>
      <c r="F56" s="53"/>
      <c r="G56" s="53"/>
      <c r="H56" s="53"/>
      <c r="I56" s="53"/>
      <c r="J56" s="53"/>
      <c r="K56" s="53"/>
    </row>
    <row r="57" spans="2:11" ht="20.45" customHeight="1" thickBot="1" x14ac:dyDescent="0.3">
      <c r="B57" s="7"/>
      <c r="C57" s="51" t="s">
        <v>119</v>
      </c>
      <c r="D57" s="52">
        <f t="shared" ref="D57:K57" si="5">SUM(D58:D64)</f>
        <v>0</v>
      </c>
      <c r="E57" s="52">
        <f t="shared" si="5"/>
        <v>0</v>
      </c>
      <c r="F57" s="52">
        <f t="shared" si="5"/>
        <v>0</v>
      </c>
      <c r="G57" s="52">
        <f t="shared" si="5"/>
        <v>0</v>
      </c>
      <c r="H57" s="52">
        <f t="shared" si="5"/>
        <v>0</v>
      </c>
      <c r="I57" s="52">
        <f t="shared" si="5"/>
        <v>0</v>
      </c>
      <c r="J57" s="52">
        <f t="shared" si="5"/>
        <v>0</v>
      </c>
      <c r="K57" s="52">
        <f t="shared" si="5"/>
        <v>0</v>
      </c>
    </row>
    <row r="58" spans="2:11" ht="20.45" customHeight="1" thickBot="1" x14ac:dyDescent="0.3">
      <c r="B58" s="10">
        <v>50</v>
      </c>
      <c r="C58" s="54" t="s">
        <v>67</v>
      </c>
      <c r="D58" s="53"/>
      <c r="E58" s="53"/>
      <c r="F58" s="53"/>
      <c r="G58" s="53"/>
      <c r="H58" s="53"/>
      <c r="I58" s="53"/>
      <c r="J58" s="53"/>
      <c r="K58" s="53"/>
    </row>
    <row r="59" spans="2:11" ht="20.45" customHeight="1" thickBot="1" x14ac:dyDescent="0.3">
      <c r="B59" s="10">
        <v>51</v>
      </c>
      <c r="C59" s="54" t="s">
        <v>68</v>
      </c>
      <c r="D59" s="53"/>
      <c r="E59" s="53"/>
      <c r="F59" s="53"/>
      <c r="G59" s="53"/>
      <c r="H59" s="53"/>
      <c r="I59" s="53"/>
      <c r="J59" s="53"/>
      <c r="K59" s="53"/>
    </row>
    <row r="60" spans="2:11" ht="26.25" thickBot="1" x14ac:dyDescent="0.3">
      <c r="B60" s="10">
        <v>52</v>
      </c>
      <c r="C60" s="53" t="s">
        <v>69</v>
      </c>
      <c r="D60" s="53"/>
      <c r="E60" s="53"/>
      <c r="F60" s="53"/>
      <c r="G60" s="53"/>
      <c r="H60" s="53"/>
      <c r="I60" s="53"/>
      <c r="J60" s="53"/>
      <c r="K60" s="53"/>
    </row>
    <row r="61" spans="2:11" ht="26.25" thickBot="1" x14ac:dyDescent="0.3">
      <c r="B61" s="10">
        <v>53</v>
      </c>
      <c r="C61" s="53" t="s">
        <v>70</v>
      </c>
      <c r="D61" s="53"/>
      <c r="E61" s="53"/>
      <c r="F61" s="53"/>
      <c r="G61" s="53"/>
      <c r="H61" s="53"/>
      <c r="I61" s="53"/>
      <c r="J61" s="53"/>
      <c r="K61" s="53"/>
    </row>
    <row r="62" spans="2:11" ht="26.25" thickBot="1" x14ac:dyDescent="0.3">
      <c r="B62" s="10">
        <v>54</v>
      </c>
      <c r="C62" s="53" t="s">
        <v>71</v>
      </c>
      <c r="D62" s="53"/>
      <c r="E62" s="53"/>
      <c r="F62" s="53"/>
      <c r="G62" s="53"/>
      <c r="H62" s="53"/>
      <c r="I62" s="53"/>
      <c r="J62" s="53"/>
      <c r="K62" s="53"/>
    </row>
    <row r="63" spans="2:11" ht="20.45" customHeight="1" thickBot="1" x14ac:dyDescent="0.3">
      <c r="B63" s="10">
        <v>55</v>
      </c>
      <c r="C63" s="54" t="s">
        <v>72</v>
      </c>
      <c r="D63" s="53"/>
      <c r="E63" s="53"/>
      <c r="F63" s="53"/>
      <c r="G63" s="53"/>
      <c r="H63" s="53"/>
      <c r="I63" s="53"/>
      <c r="J63" s="53"/>
      <c r="K63" s="53"/>
    </row>
    <row r="64" spans="2:11" ht="20.45" customHeight="1" thickBot="1" x14ac:dyDescent="0.3">
      <c r="B64" s="10">
        <v>56</v>
      </c>
      <c r="C64" s="54" t="s">
        <v>73</v>
      </c>
      <c r="D64" s="53"/>
      <c r="E64" s="53"/>
      <c r="F64" s="53"/>
      <c r="G64" s="53"/>
      <c r="H64" s="53"/>
      <c r="I64" s="53"/>
      <c r="J64" s="53"/>
      <c r="K64" s="53"/>
    </row>
    <row r="65" spans="2:11" ht="20.45" customHeight="1" thickBot="1" x14ac:dyDescent="0.3">
      <c r="B65" s="7"/>
      <c r="C65" s="51" t="s">
        <v>120</v>
      </c>
      <c r="D65" s="52">
        <f>SUM(D66:D76)</f>
        <v>0</v>
      </c>
      <c r="E65" s="52">
        <f t="shared" ref="E65:K65" si="6">SUM(E66:E76)</f>
        <v>0</v>
      </c>
      <c r="F65" s="52">
        <f t="shared" si="6"/>
        <v>0</v>
      </c>
      <c r="G65" s="52">
        <f t="shared" si="6"/>
        <v>0</v>
      </c>
      <c r="H65" s="52">
        <f t="shared" si="6"/>
        <v>0</v>
      </c>
      <c r="I65" s="52">
        <f t="shared" si="6"/>
        <v>0</v>
      </c>
      <c r="J65" s="52">
        <f t="shared" si="6"/>
        <v>0</v>
      </c>
      <c r="K65" s="52">
        <f t="shared" si="6"/>
        <v>0</v>
      </c>
    </row>
    <row r="66" spans="2:11" ht="20.45" customHeight="1" thickBot="1" x14ac:dyDescent="0.3">
      <c r="B66" s="10">
        <v>57</v>
      </c>
      <c r="C66" s="54" t="s">
        <v>74</v>
      </c>
      <c r="D66" s="53"/>
      <c r="E66" s="53"/>
      <c r="F66" s="53"/>
      <c r="G66" s="53"/>
      <c r="H66" s="53"/>
      <c r="I66" s="53"/>
      <c r="J66" s="53"/>
      <c r="K66" s="53"/>
    </row>
    <row r="67" spans="2:11" ht="20.45" customHeight="1" thickBot="1" x14ac:dyDescent="0.3">
      <c r="B67" s="8">
        <v>58</v>
      </c>
      <c r="C67" s="53" t="s">
        <v>75</v>
      </c>
      <c r="D67" s="53"/>
      <c r="E67" s="53"/>
      <c r="F67" s="53"/>
      <c r="G67" s="53"/>
      <c r="H67" s="53"/>
      <c r="I67" s="53"/>
      <c r="J67" s="53"/>
      <c r="K67" s="53"/>
    </row>
    <row r="68" spans="2:11" ht="20.45" customHeight="1" thickBot="1" x14ac:dyDescent="0.3">
      <c r="B68" s="10">
        <v>59</v>
      </c>
      <c r="C68" s="54" t="s">
        <v>76</v>
      </c>
      <c r="D68" s="53"/>
      <c r="E68" s="53"/>
      <c r="F68" s="53"/>
      <c r="G68" s="53"/>
      <c r="H68" s="53"/>
      <c r="I68" s="53"/>
      <c r="J68" s="53"/>
      <c r="K68" s="53"/>
    </row>
    <row r="69" spans="2:11" ht="20.45" customHeight="1" thickBot="1" x14ac:dyDescent="0.3">
      <c r="B69" s="8">
        <v>60</v>
      </c>
      <c r="C69" s="54" t="s">
        <v>77</v>
      </c>
      <c r="D69" s="53"/>
      <c r="E69" s="53"/>
      <c r="F69" s="53"/>
      <c r="G69" s="53"/>
      <c r="H69" s="53"/>
      <c r="I69" s="53"/>
      <c r="J69" s="53"/>
      <c r="K69" s="53"/>
    </row>
    <row r="70" spans="2:11" ht="20.45" customHeight="1" thickBot="1" x14ac:dyDescent="0.3">
      <c r="B70" s="10">
        <v>61</v>
      </c>
      <c r="C70" s="53" t="s">
        <v>78</v>
      </c>
      <c r="D70" s="53"/>
      <c r="E70" s="53"/>
      <c r="F70" s="53"/>
      <c r="G70" s="53"/>
      <c r="H70" s="53"/>
      <c r="I70" s="53"/>
      <c r="J70" s="53"/>
      <c r="K70" s="53"/>
    </row>
    <row r="71" spans="2:11" ht="20.45" customHeight="1" thickBot="1" x14ac:dyDescent="0.3">
      <c r="B71" s="8">
        <v>62</v>
      </c>
      <c r="C71" s="54" t="s">
        <v>79</v>
      </c>
      <c r="D71" s="53"/>
      <c r="E71" s="53"/>
      <c r="F71" s="53"/>
      <c r="G71" s="53"/>
      <c r="H71" s="53"/>
      <c r="I71" s="53"/>
      <c r="J71" s="53"/>
      <c r="K71" s="53"/>
    </row>
    <row r="72" spans="2:11" ht="20.45" customHeight="1" thickBot="1" x14ac:dyDescent="0.3">
      <c r="B72" s="10">
        <v>63</v>
      </c>
      <c r="C72" s="54" t="s">
        <v>80</v>
      </c>
      <c r="D72" s="53"/>
      <c r="E72" s="53"/>
      <c r="F72" s="53"/>
      <c r="G72" s="53"/>
      <c r="H72" s="53"/>
      <c r="I72" s="53"/>
      <c r="J72" s="53"/>
      <c r="K72" s="53"/>
    </row>
    <row r="73" spans="2:11" ht="20.45" customHeight="1" thickBot="1" x14ac:dyDescent="0.3">
      <c r="B73" s="8">
        <v>64</v>
      </c>
      <c r="C73" s="54" t="s">
        <v>81</v>
      </c>
      <c r="D73" s="53"/>
      <c r="E73" s="53"/>
      <c r="F73" s="53"/>
      <c r="G73" s="53"/>
      <c r="H73" s="53"/>
      <c r="I73" s="53"/>
      <c r="J73" s="53"/>
      <c r="K73" s="53"/>
    </row>
    <row r="74" spans="2:11" ht="20.45" customHeight="1" thickBot="1" x14ac:dyDescent="0.3">
      <c r="B74" s="10">
        <v>65</v>
      </c>
      <c r="C74" s="53" t="s">
        <v>82</v>
      </c>
      <c r="D74" s="53"/>
      <c r="E74" s="53"/>
      <c r="F74" s="53"/>
      <c r="G74" s="53"/>
      <c r="H74" s="53"/>
      <c r="I74" s="53"/>
      <c r="J74" s="53"/>
      <c r="K74" s="53"/>
    </row>
    <row r="75" spans="2:11" ht="20.45" customHeight="1" thickBot="1" x14ac:dyDescent="0.3">
      <c r="B75" s="8">
        <v>66</v>
      </c>
      <c r="C75" s="53" t="s">
        <v>83</v>
      </c>
      <c r="D75" s="53"/>
      <c r="E75" s="53"/>
      <c r="F75" s="53"/>
      <c r="G75" s="53"/>
      <c r="H75" s="53"/>
      <c r="I75" s="53"/>
      <c r="J75" s="53"/>
      <c r="K75" s="53"/>
    </row>
    <row r="76" spans="2:11" ht="20.45" customHeight="1" thickBot="1" x14ac:dyDescent="0.3">
      <c r="B76" s="10">
        <v>67</v>
      </c>
      <c r="C76" s="53" t="s">
        <v>84</v>
      </c>
      <c r="D76" s="53"/>
      <c r="E76" s="53"/>
      <c r="F76" s="53"/>
      <c r="G76" s="53"/>
      <c r="H76" s="53"/>
      <c r="I76" s="53"/>
      <c r="J76" s="53"/>
      <c r="K76" s="53"/>
    </row>
    <row r="77" spans="2:11" ht="20.45" customHeight="1" thickBot="1" x14ac:dyDescent="0.3">
      <c r="B77" s="9"/>
      <c r="C77" s="51" t="s">
        <v>121</v>
      </c>
      <c r="D77" s="52">
        <f>SUM(D78:D95)</f>
        <v>0</v>
      </c>
      <c r="E77" s="52">
        <f t="shared" ref="E77:K77" si="7">SUM(E78:E95)</f>
        <v>0</v>
      </c>
      <c r="F77" s="52">
        <f t="shared" si="7"/>
        <v>0</v>
      </c>
      <c r="G77" s="52">
        <f t="shared" si="7"/>
        <v>0</v>
      </c>
      <c r="H77" s="52">
        <f t="shared" si="7"/>
        <v>0</v>
      </c>
      <c r="I77" s="52">
        <f t="shared" si="7"/>
        <v>0</v>
      </c>
      <c r="J77" s="52">
        <f t="shared" si="7"/>
        <v>0</v>
      </c>
      <c r="K77" s="52">
        <f t="shared" si="7"/>
        <v>0</v>
      </c>
    </row>
    <row r="78" spans="2:11" ht="20.45" customHeight="1" thickBot="1" x14ac:dyDescent="0.3">
      <c r="B78" s="8">
        <v>68</v>
      </c>
      <c r="C78" s="53" t="s">
        <v>85</v>
      </c>
      <c r="D78" s="53"/>
      <c r="E78" s="53"/>
      <c r="F78" s="53"/>
      <c r="G78" s="53"/>
      <c r="H78" s="53"/>
      <c r="I78" s="53"/>
      <c r="J78" s="53"/>
      <c r="K78" s="53"/>
    </row>
    <row r="79" spans="2:11" ht="20.45" customHeight="1" thickBot="1" x14ac:dyDescent="0.3">
      <c r="B79" s="8">
        <v>69</v>
      </c>
      <c r="C79" s="53" t="s">
        <v>86</v>
      </c>
      <c r="D79" s="53"/>
      <c r="E79" s="53"/>
      <c r="F79" s="53"/>
      <c r="G79" s="53"/>
      <c r="H79" s="53"/>
      <c r="I79" s="53"/>
      <c r="J79" s="53"/>
      <c r="K79" s="53"/>
    </row>
    <row r="80" spans="2:11" ht="20.45" customHeight="1" thickBot="1" x14ac:dyDescent="0.3">
      <c r="B80" s="8">
        <v>70</v>
      </c>
      <c r="C80" s="53" t="s">
        <v>87</v>
      </c>
      <c r="D80" s="53"/>
      <c r="E80" s="53"/>
      <c r="F80" s="53"/>
      <c r="G80" s="53"/>
      <c r="H80" s="53"/>
      <c r="I80" s="53"/>
      <c r="J80" s="53"/>
      <c r="K80" s="53"/>
    </row>
    <row r="81" spans="2:11" ht="20.45" customHeight="1" thickBot="1" x14ac:dyDescent="0.3">
      <c r="B81" s="8">
        <v>71</v>
      </c>
      <c r="C81" s="53" t="s">
        <v>88</v>
      </c>
      <c r="D81" s="53"/>
      <c r="E81" s="53"/>
      <c r="F81" s="53"/>
      <c r="G81" s="53"/>
      <c r="H81" s="53"/>
      <c r="I81" s="53"/>
      <c r="J81" s="53"/>
      <c r="K81" s="53"/>
    </row>
    <row r="82" spans="2:11" ht="20.45" customHeight="1" thickBot="1" x14ac:dyDescent="0.3">
      <c r="B82" s="8">
        <v>72</v>
      </c>
      <c r="C82" s="53" t="s">
        <v>89</v>
      </c>
      <c r="D82" s="53"/>
      <c r="E82" s="53"/>
      <c r="F82" s="53"/>
      <c r="G82" s="53"/>
      <c r="H82" s="53"/>
      <c r="I82" s="53"/>
      <c r="J82" s="53"/>
      <c r="K82" s="53"/>
    </row>
    <row r="83" spans="2:11" ht="20.45" customHeight="1" thickBot="1" x14ac:dyDescent="0.3">
      <c r="B83" s="8">
        <v>73</v>
      </c>
      <c r="C83" s="53" t="s">
        <v>90</v>
      </c>
      <c r="D83" s="53"/>
      <c r="E83" s="53"/>
      <c r="F83" s="53"/>
      <c r="G83" s="53"/>
      <c r="H83" s="53"/>
      <c r="I83" s="53"/>
      <c r="J83" s="53"/>
      <c r="K83" s="53"/>
    </row>
    <row r="84" spans="2:11" ht="20.45" customHeight="1" thickBot="1" x14ac:dyDescent="0.3">
      <c r="B84" s="8">
        <v>74</v>
      </c>
      <c r="C84" s="53" t="s">
        <v>91</v>
      </c>
      <c r="D84" s="53"/>
      <c r="E84" s="53"/>
      <c r="F84" s="53"/>
      <c r="G84" s="53"/>
      <c r="H84" s="53"/>
      <c r="I84" s="53"/>
      <c r="J84" s="53"/>
      <c r="K84" s="53"/>
    </row>
    <row r="85" spans="2:11" ht="20.45" customHeight="1" thickBot="1" x14ac:dyDescent="0.3">
      <c r="B85" s="8">
        <v>75</v>
      </c>
      <c r="C85" s="54" t="s">
        <v>92</v>
      </c>
      <c r="D85" s="53"/>
      <c r="E85" s="53"/>
      <c r="F85" s="53"/>
      <c r="G85" s="53"/>
      <c r="H85" s="53"/>
      <c r="I85" s="53"/>
      <c r="J85" s="53"/>
      <c r="K85" s="53"/>
    </row>
    <row r="86" spans="2:11" ht="20.45" customHeight="1" thickBot="1" x14ac:dyDescent="0.3">
      <c r="B86" s="8">
        <v>76</v>
      </c>
      <c r="C86" s="53" t="s">
        <v>93</v>
      </c>
      <c r="D86" s="53"/>
      <c r="E86" s="53"/>
      <c r="F86" s="53"/>
      <c r="G86" s="53"/>
      <c r="H86" s="53"/>
      <c r="I86" s="53"/>
      <c r="J86" s="53"/>
      <c r="K86" s="53"/>
    </row>
    <row r="87" spans="2:11" ht="20.45" customHeight="1" thickBot="1" x14ac:dyDescent="0.3">
      <c r="B87" s="8">
        <v>77</v>
      </c>
      <c r="C87" s="53" t="s">
        <v>94</v>
      </c>
      <c r="D87" s="53"/>
      <c r="E87" s="53"/>
      <c r="F87" s="53"/>
      <c r="G87" s="53"/>
      <c r="H87" s="53"/>
      <c r="I87" s="53"/>
      <c r="J87" s="53"/>
      <c r="K87" s="53"/>
    </row>
    <row r="88" spans="2:11" ht="20.45" customHeight="1" thickBot="1" x14ac:dyDescent="0.3">
      <c r="B88" s="8">
        <v>78</v>
      </c>
      <c r="C88" s="53" t="s">
        <v>95</v>
      </c>
      <c r="D88" s="53"/>
      <c r="E88" s="53"/>
      <c r="F88" s="53"/>
      <c r="G88" s="53"/>
      <c r="H88" s="53"/>
      <c r="I88" s="53"/>
      <c r="J88" s="53"/>
      <c r="K88" s="53"/>
    </row>
    <row r="89" spans="2:11" ht="20.45" customHeight="1" thickBot="1" x14ac:dyDescent="0.3">
      <c r="B89" s="8">
        <v>79</v>
      </c>
      <c r="C89" s="53" t="s">
        <v>96</v>
      </c>
      <c r="D89" s="53"/>
      <c r="E89" s="53"/>
      <c r="F89" s="53"/>
      <c r="G89" s="53"/>
      <c r="H89" s="53"/>
      <c r="I89" s="53"/>
      <c r="J89" s="53"/>
      <c r="K89" s="53"/>
    </row>
    <row r="90" spans="2:11" ht="20.45" customHeight="1" thickBot="1" x14ac:dyDescent="0.3">
      <c r="B90" s="8">
        <v>80</v>
      </c>
      <c r="C90" s="53" t="s">
        <v>97</v>
      </c>
      <c r="D90" s="53"/>
      <c r="E90" s="53"/>
      <c r="F90" s="53"/>
      <c r="G90" s="53"/>
      <c r="H90" s="53"/>
      <c r="I90" s="53"/>
      <c r="J90" s="53"/>
      <c r="K90" s="53"/>
    </row>
    <row r="91" spans="2:11" ht="20.45" customHeight="1" thickBot="1" x14ac:dyDescent="0.3">
      <c r="B91" s="8">
        <v>81</v>
      </c>
      <c r="C91" s="53" t="s">
        <v>98</v>
      </c>
      <c r="D91" s="53"/>
      <c r="E91" s="53"/>
      <c r="F91" s="53"/>
      <c r="G91" s="53"/>
      <c r="H91" s="53"/>
      <c r="I91" s="53"/>
      <c r="J91" s="53"/>
      <c r="K91" s="53"/>
    </row>
    <row r="92" spans="2:11" ht="20.45" customHeight="1" thickBot="1" x14ac:dyDescent="0.3">
      <c r="B92" s="8">
        <v>82</v>
      </c>
      <c r="C92" s="53" t="s">
        <v>99</v>
      </c>
      <c r="D92" s="53"/>
      <c r="E92" s="53"/>
      <c r="F92" s="53"/>
      <c r="G92" s="53"/>
      <c r="H92" s="53"/>
      <c r="I92" s="53"/>
      <c r="J92" s="53"/>
      <c r="K92" s="53"/>
    </row>
    <row r="93" spans="2:11" ht="20.45" customHeight="1" thickBot="1" x14ac:dyDescent="0.3">
      <c r="B93" s="8">
        <v>83</v>
      </c>
      <c r="C93" s="53" t="s">
        <v>100</v>
      </c>
      <c r="D93" s="53"/>
      <c r="E93" s="53"/>
      <c r="F93" s="53"/>
      <c r="G93" s="53"/>
      <c r="H93" s="53"/>
      <c r="I93" s="53"/>
      <c r="J93" s="53"/>
      <c r="K93" s="53"/>
    </row>
    <row r="94" spans="2:11" ht="20.45" customHeight="1" thickBot="1" x14ac:dyDescent="0.3">
      <c r="B94" s="8">
        <v>84</v>
      </c>
      <c r="C94" s="53" t="s">
        <v>101</v>
      </c>
      <c r="D94" s="53"/>
      <c r="E94" s="53"/>
      <c r="F94" s="53"/>
      <c r="G94" s="53"/>
      <c r="H94" s="53"/>
      <c r="I94" s="53"/>
      <c r="J94" s="53"/>
      <c r="K94" s="53"/>
    </row>
    <row r="95" spans="2:11" ht="20.45" customHeight="1" thickBot="1" x14ac:dyDescent="0.3">
      <c r="B95" s="8">
        <v>85</v>
      </c>
      <c r="C95" s="54" t="s">
        <v>102</v>
      </c>
      <c r="D95" s="53"/>
      <c r="E95" s="53"/>
      <c r="F95" s="53"/>
      <c r="G95" s="53"/>
      <c r="H95" s="53"/>
      <c r="I95" s="53"/>
      <c r="J95" s="53"/>
      <c r="K95" s="53"/>
    </row>
    <row r="96" spans="2:11" ht="15.75" thickBot="1" x14ac:dyDescent="0.3">
      <c r="B96" s="9"/>
      <c r="C96" s="146"/>
      <c r="D96" s="52">
        <f>SUM(D97:D114)</f>
        <v>0</v>
      </c>
      <c r="E96" s="52">
        <f t="shared" ref="E96:K96" si="8">SUM(E97:E114)</f>
        <v>0</v>
      </c>
      <c r="F96" s="52">
        <f t="shared" si="8"/>
        <v>0</v>
      </c>
      <c r="G96" s="52">
        <f t="shared" si="8"/>
        <v>0</v>
      </c>
      <c r="H96" s="52">
        <f t="shared" si="8"/>
        <v>0</v>
      </c>
      <c r="I96" s="52">
        <f t="shared" si="8"/>
        <v>0</v>
      </c>
      <c r="J96" s="52">
        <f t="shared" si="8"/>
        <v>0</v>
      </c>
      <c r="K96" s="52">
        <f t="shared" si="8"/>
        <v>0</v>
      </c>
    </row>
    <row r="97" spans="2:11" ht="20.45" customHeight="1" thickBot="1" x14ac:dyDescent="0.3">
      <c r="B97" s="8">
        <v>86</v>
      </c>
      <c r="C97" s="10" t="s">
        <v>497</v>
      </c>
      <c r="D97" s="53"/>
      <c r="E97" s="53"/>
      <c r="F97" s="53"/>
      <c r="G97" s="53"/>
      <c r="H97" s="53"/>
      <c r="I97" s="53"/>
      <c r="J97" s="53"/>
      <c r="K97" s="53"/>
    </row>
    <row r="98" spans="2:11" ht="20.45" customHeight="1" thickBot="1" x14ac:dyDescent="0.3">
      <c r="B98" s="8">
        <v>87</v>
      </c>
      <c r="C98" s="10" t="s">
        <v>498</v>
      </c>
      <c r="D98" s="53"/>
      <c r="E98" s="53"/>
      <c r="F98" s="53"/>
      <c r="G98" s="53"/>
      <c r="H98" s="53"/>
      <c r="I98" s="53"/>
      <c r="J98" s="53"/>
      <c r="K98" s="53"/>
    </row>
    <row r="99" spans="2:11" ht="20.45" customHeight="1" thickBot="1" x14ac:dyDescent="0.3">
      <c r="B99" s="8">
        <v>88</v>
      </c>
      <c r="C99" s="10" t="s">
        <v>499</v>
      </c>
      <c r="D99" s="53"/>
      <c r="E99" s="53"/>
      <c r="F99" s="53"/>
      <c r="G99" s="53"/>
      <c r="H99" s="53"/>
      <c r="I99" s="53"/>
      <c r="J99" s="53"/>
      <c r="K99" s="53"/>
    </row>
    <row r="100" spans="2:11" ht="20.45" customHeight="1" thickBot="1" x14ac:dyDescent="0.3">
      <c r="B100" s="8">
        <v>89</v>
      </c>
      <c r="C100" s="10" t="s">
        <v>500</v>
      </c>
      <c r="D100" s="53"/>
      <c r="E100" s="53"/>
      <c r="F100" s="53"/>
      <c r="G100" s="53"/>
      <c r="H100" s="53"/>
      <c r="I100" s="53"/>
      <c r="J100" s="53"/>
      <c r="K100" s="53"/>
    </row>
    <row r="101" spans="2:11" ht="29.25" customHeight="1" thickBot="1" x14ac:dyDescent="0.3">
      <c r="B101" s="142"/>
      <c r="C101" s="59" t="s">
        <v>246</v>
      </c>
      <c r="D101" s="60">
        <f>SUM(D3,D15,D26,D33,D48,D57,D65,D77,)</f>
        <v>0</v>
      </c>
      <c r="E101" s="60">
        <f t="shared" ref="E101:K101" si="9">SUM(E3,E15,E26,E33,E48,E57,E65,E77,)</f>
        <v>0</v>
      </c>
      <c r="F101" s="60">
        <f t="shared" si="9"/>
        <v>0</v>
      </c>
      <c r="G101" s="60">
        <f t="shared" si="9"/>
        <v>0</v>
      </c>
      <c r="H101" s="60">
        <f t="shared" si="9"/>
        <v>0</v>
      </c>
      <c r="I101" s="60">
        <f t="shared" si="9"/>
        <v>0</v>
      </c>
      <c r="J101" s="60">
        <f t="shared" si="9"/>
        <v>0</v>
      </c>
      <c r="K101" s="60">
        <f t="shared" si="9"/>
        <v>0</v>
      </c>
    </row>
    <row r="108" spans="2:11" x14ac:dyDescent="0.25">
      <c r="B108"/>
    </row>
    <row r="110" spans="2:11" x14ac:dyDescent="0.25">
      <c r="B110" s="3"/>
    </row>
    <row r="111" spans="2:11" x14ac:dyDescent="0.25">
      <c r="B111" s="3"/>
    </row>
  </sheetData>
  <mergeCells count="6">
    <mergeCell ref="J1:K1"/>
    <mergeCell ref="B1:B2"/>
    <mergeCell ref="C1:C2"/>
    <mergeCell ref="D1:E1"/>
    <mergeCell ref="F1:G1"/>
    <mergeCell ref="H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3"/>
    </sheetView>
  </sheetViews>
  <sheetFormatPr defaultRowHeight="15" x14ac:dyDescent="0.25"/>
  <cols>
    <col min="1" max="1" width="25.5703125" customWidth="1"/>
    <col min="2" max="2" width="28.140625" customWidth="1"/>
    <col min="3" max="10" width="13.28515625" customWidth="1"/>
  </cols>
  <sheetData>
    <row r="1" spans="1:10" ht="27.6" customHeight="1" x14ac:dyDescent="0.25">
      <c r="A1" s="268" t="s">
        <v>103</v>
      </c>
      <c r="B1" s="268" t="s">
        <v>235</v>
      </c>
      <c r="C1" s="268" t="s">
        <v>236</v>
      </c>
      <c r="D1" s="268"/>
      <c r="E1" s="268" t="s">
        <v>237</v>
      </c>
      <c r="F1" s="268"/>
      <c r="G1" s="268" t="s">
        <v>238</v>
      </c>
      <c r="H1" s="268"/>
      <c r="I1" s="268"/>
      <c r="J1" s="268"/>
    </row>
    <row r="2" spans="1:10" ht="27.6" customHeight="1" x14ac:dyDescent="0.25">
      <c r="A2" s="268"/>
      <c r="B2" s="268"/>
      <c r="C2" s="268"/>
      <c r="D2" s="268"/>
      <c r="E2" s="268"/>
      <c r="F2" s="268"/>
      <c r="G2" s="269" t="s">
        <v>239</v>
      </c>
      <c r="H2" s="269"/>
      <c r="I2" s="269" t="s">
        <v>240</v>
      </c>
      <c r="J2" s="269"/>
    </row>
    <row r="3" spans="1:10" x14ac:dyDescent="0.25">
      <c r="A3" s="268"/>
      <c r="B3" s="268"/>
      <c r="C3" s="191" t="s">
        <v>227</v>
      </c>
      <c r="D3" s="191" t="s">
        <v>575</v>
      </c>
      <c r="E3" s="191" t="s">
        <v>227</v>
      </c>
      <c r="F3" s="191" t="s">
        <v>575</v>
      </c>
      <c r="G3" s="191" t="s">
        <v>227</v>
      </c>
      <c r="H3" s="191" t="s">
        <v>575</v>
      </c>
      <c r="I3" s="191" t="s">
        <v>227</v>
      </c>
      <c r="J3" s="191" t="s">
        <v>575</v>
      </c>
    </row>
    <row r="4" spans="1:10" x14ac:dyDescent="0.25">
      <c r="A4" s="264" t="s">
        <v>113</v>
      </c>
      <c r="B4" s="65" t="s">
        <v>241</v>
      </c>
      <c r="C4" s="66">
        <v>6</v>
      </c>
      <c r="D4" s="66"/>
      <c r="E4" s="66"/>
      <c r="F4" s="66"/>
      <c r="G4" s="66">
        <v>174</v>
      </c>
      <c r="H4" s="66"/>
      <c r="I4" s="66">
        <v>0</v>
      </c>
      <c r="J4" s="66"/>
    </row>
    <row r="5" spans="1:10" x14ac:dyDescent="0.25">
      <c r="A5" s="264"/>
      <c r="B5" s="65" t="s">
        <v>242</v>
      </c>
      <c r="C5" s="66">
        <v>0</v>
      </c>
      <c r="D5" s="66"/>
      <c r="E5" s="66"/>
      <c r="F5" s="66"/>
      <c r="G5" s="66">
        <v>0</v>
      </c>
      <c r="H5" s="66"/>
      <c r="I5" s="66">
        <v>0</v>
      </c>
      <c r="J5" s="66"/>
    </row>
    <row r="6" spans="1:10" x14ac:dyDescent="0.25">
      <c r="A6" s="264"/>
      <c r="B6" s="65" t="s">
        <v>243</v>
      </c>
      <c r="C6" s="66">
        <v>5</v>
      </c>
      <c r="D6" s="66"/>
      <c r="E6" s="66"/>
      <c r="F6" s="66"/>
      <c r="G6" s="66">
        <v>23</v>
      </c>
      <c r="H6" s="66"/>
      <c r="I6" s="66">
        <v>7</v>
      </c>
      <c r="J6" s="66"/>
    </row>
    <row r="7" spans="1:10" x14ac:dyDescent="0.25">
      <c r="A7" s="264"/>
      <c r="B7" s="65" t="s">
        <v>244</v>
      </c>
      <c r="C7" s="66">
        <v>0</v>
      </c>
      <c r="D7" s="66"/>
      <c r="E7" s="66"/>
      <c r="F7" s="66"/>
      <c r="G7" s="66">
        <v>0</v>
      </c>
      <c r="H7" s="66"/>
      <c r="I7" s="66">
        <v>0</v>
      </c>
      <c r="J7" s="66"/>
    </row>
    <row r="8" spans="1:10" x14ac:dyDescent="0.25">
      <c r="A8" s="264" t="s">
        <v>115</v>
      </c>
      <c r="B8" s="65" t="s">
        <v>241</v>
      </c>
      <c r="C8" s="66">
        <v>6</v>
      </c>
      <c r="D8" s="66"/>
      <c r="E8" s="66"/>
      <c r="F8" s="66"/>
      <c r="G8" s="66">
        <v>196</v>
      </c>
      <c r="H8" s="66"/>
      <c r="I8" s="66">
        <v>1</v>
      </c>
      <c r="J8" s="66"/>
    </row>
    <row r="9" spans="1:10" x14ac:dyDescent="0.25">
      <c r="A9" s="264"/>
      <c r="B9" s="65" t="s">
        <v>242</v>
      </c>
      <c r="C9" s="66">
        <v>0</v>
      </c>
      <c r="D9" s="66"/>
      <c r="E9" s="66"/>
      <c r="F9" s="66"/>
      <c r="G9" s="66">
        <v>0</v>
      </c>
      <c r="H9" s="66"/>
      <c r="I9" s="66">
        <v>0</v>
      </c>
      <c r="J9" s="66"/>
    </row>
    <row r="10" spans="1:10" x14ac:dyDescent="0.25">
      <c r="A10" s="264"/>
      <c r="B10" s="65" t="s">
        <v>243</v>
      </c>
      <c r="C10" s="66">
        <v>41</v>
      </c>
      <c r="D10" s="66"/>
      <c r="E10" s="66"/>
      <c r="F10" s="66"/>
      <c r="G10" s="66">
        <v>197</v>
      </c>
      <c r="H10" s="66"/>
      <c r="I10" s="66">
        <v>66</v>
      </c>
      <c r="J10" s="66"/>
    </row>
    <row r="11" spans="1:10" x14ac:dyDescent="0.25">
      <c r="A11" s="264"/>
      <c r="B11" s="65" t="s">
        <v>244</v>
      </c>
      <c r="C11" s="66">
        <v>0</v>
      </c>
      <c r="D11" s="66"/>
      <c r="E11" s="66"/>
      <c r="F11" s="66"/>
      <c r="G11" s="66">
        <v>0</v>
      </c>
      <c r="H11" s="66"/>
      <c r="I11" s="66">
        <v>0</v>
      </c>
      <c r="J11" s="66"/>
    </row>
    <row r="12" spans="1:10" x14ac:dyDescent="0.25">
      <c r="A12" s="264" t="s">
        <v>116</v>
      </c>
      <c r="B12" s="65" t="s">
        <v>241</v>
      </c>
      <c r="C12" s="66">
        <v>5</v>
      </c>
      <c r="D12" s="66"/>
      <c r="E12" s="66"/>
      <c r="F12" s="66"/>
      <c r="G12" s="66">
        <v>138</v>
      </c>
      <c r="H12" s="66"/>
      <c r="I12" s="66">
        <v>2</v>
      </c>
      <c r="J12" s="66"/>
    </row>
    <row r="13" spans="1:10" x14ac:dyDescent="0.25">
      <c r="A13" s="264"/>
      <c r="B13" s="65" t="s">
        <v>242</v>
      </c>
      <c r="C13" s="66">
        <v>0</v>
      </c>
      <c r="D13" s="66"/>
      <c r="E13" s="66"/>
      <c r="F13" s="66"/>
      <c r="G13" s="66">
        <v>0</v>
      </c>
      <c r="H13" s="66"/>
      <c r="I13" s="66">
        <v>0</v>
      </c>
      <c r="J13" s="66"/>
    </row>
    <row r="14" spans="1:10" x14ac:dyDescent="0.25">
      <c r="A14" s="264"/>
      <c r="B14" s="65" t="s">
        <v>243</v>
      </c>
      <c r="C14" s="66">
        <v>9</v>
      </c>
      <c r="D14" s="66"/>
      <c r="E14" s="66"/>
      <c r="F14" s="66"/>
      <c r="G14" s="66">
        <v>33</v>
      </c>
      <c r="H14" s="66"/>
      <c r="I14" s="66">
        <v>14</v>
      </c>
      <c r="J14" s="66"/>
    </row>
    <row r="15" spans="1:10" x14ac:dyDescent="0.25">
      <c r="A15" s="264"/>
      <c r="B15" s="65" t="s">
        <v>244</v>
      </c>
      <c r="C15" s="66">
        <v>0</v>
      </c>
      <c r="D15" s="66"/>
      <c r="E15" s="66"/>
      <c r="F15" s="66"/>
      <c r="G15" s="66">
        <v>0</v>
      </c>
      <c r="H15" s="66"/>
      <c r="I15" s="66">
        <v>0</v>
      </c>
      <c r="J15" s="66"/>
    </row>
    <row r="16" spans="1:10" x14ac:dyDescent="0.25">
      <c r="A16" s="264" t="s">
        <v>117</v>
      </c>
      <c r="B16" s="65" t="s">
        <v>241</v>
      </c>
      <c r="C16" s="66">
        <v>18</v>
      </c>
      <c r="D16" s="66"/>
      <c r="E16" s="66"/>
      <c r="F16" s="66"/>
      <c r="G16" s="66">
        <v>343</v>
      </c>
      <c r="H16" s="66"/>
      <c r="I16" s="66">
        <v>1</v>
      </c>
      <c r="J16" s="66"/>
    </row>
    <row r="17" spans="1:10" x14ac:dyDescent="0.25">
      <c r="A17" s="264"/>
      <c r="B17" s="65" t="s">
        <v>242</v>
      </c>
      <c r="C17" s="66">
        <v>0</v>
      </c>
      <c r="D17" s="66"/>
      <c r="E17" s="66"/>
      <c r="F17" s="66"/>
      <c r="G17" s="66">
        <v>0</v>
      </c>
      <c r="H17" s="66"/>
      <c r="I17" s="66">
        <v>0</v>
      </c>
      <c r="J17" s="66"/>
    </row>
    <row r="18" spans="1:10" x14ac:dyDescent="0.25">
      <c r="A18" s="264"/>
      <c r="B18" s="65" t="s">
        <v>243</v>
      </c>
      <c r="C18" s="66">
        <v>37</v>
      </c>
      <c r="D18" s="66"/>
      <c r="E18" s="66"/>
      <c r="F18" s="66"/>
      <c r="G18" s="66">
        <v>201</v>
      </c>
      <c r="H18" s="66"/>
      <c r="I18" s="66">
        <v>90</v>
      </c>
      <c r="J18" s="66"/>
    </row>
    <row r="19" spans="1:10" x14ac:dyDescent="0.25">
      <c r="A19" s="264"/>
      <c r="B19" s="65" t="s">
        <v>244</v>
      </c>
      <c r="C19" s="66">
        <v>0</v>
      </c>
      <c r="D19" s="66"/>
      <c r="E19" s="66"/>
      <c r="F19" s="66"/>
      <c r="G19" s="66">
        <v>0</v>
      </c>
      <c r="H19" s="66"/>
      <c r="I19" s="66">
        <v>0</v>
      </c>
      <c r="J19" s="66"/>
    </row>
    <row r="20" spans="1:10" x14ac:dyDescent="0.25">
      <c r="A20" s="264" t="s">
        <v>118</v>
      </c>
      <c r="B20" s="65" t="s">
        <v>241</v>
      </c>
      <c r="C20" s="66">
        <v>73</v>
      </c>
      <c r="D20" s="66"/>
      <c r="E20" s="66"/>
      <c r="F20" s="66"/>
      <c r="G20" s="66">
        <v>129</v>
      </c>
      <c r="H20" s="66"/>
      <c r="I20" s="66">
        <v>12</v>
      </c>
      <c r="J20" s="66"/>
    </row>
    <row r="21" spans="1:10" x14ac:dyDescent="0.25">
      <c r="A21" s="264"/>
      <c r="B21" s="65" t="s">
        <v>242</v>
      </c>
      <c r="C21" s="66">
        <v>0</v>
      </c>
      <c r="D21" s="66"/>
      <c r="E21" s="66"/>
      <c r="F21" s="66"/>
      <c r="G21" s="66">
        <v>0</v>
      </c>
      <c r="H21" s="66"/>
      <c r="I21" s="66">
        <v>0</v>
      </c>
      <c r="J21" s="66"/>
    </row>
    <row r="22" spans="1:10" x14ac:dyDescent="0.25">
      <c r="A22" s="264"/>
      <c r="B22" s="65" t="s">
        <v>243</v>
      </c>
      <c r="C22" s="66">
        <v>19</v>
      </c>
      <c r="D22" s="66"/>
      <c r="E22" s="66"/>
      <c r="F22" s="66"/>
      <c r="G22" s="66">
        <v>80</v>
      </c>
      <c r="H22" s="66"/>
      <c r="I22" s="66">
        <v>36</v>
      </c>
      <c r="J22" s="66"/>
    </row>
    <row r="23" spans="1:10" x14ac:dyDescent="0.25">
      <c r="A23" s="264"/>
      <c r="B23" s="65" t="s">
        <v>244</v>
      </c>
      <c r="C23" s="66">
        <v>0</v>
      </c>
      <c r="D23" s="66"/>
      <c r="E23" s="66"/>
      <c r="F23" s="66"/>
      <c r="G23" s="66">
        <v>0</v>
      </c>
      <c r="H23" s="66"/>
      <c r="I23" s="66">
        <v>0</v>
      </c>
      <c r="J23" s="66"/>
    </row>
    <row r="24" spans="1:10" x14ac:dyDescent="0.25">
      <c r="A24" s="264" t="s">
        <v>119</v>
      </c>
      <c r="B24" s="65" t="s">
        <v>241</v>
      </c>
      <c r="C24" s="66">
        <v>0</v>
      </c>
      <c r="D24" s="66"/>
      <c r="E24" s="66"/>
      <c r="F24" s="66"/>
      <c r="G24" s="66">
        <v>0</v>
      </c>
      <c r="H24" s="66"/>
      <c r="I24" s="66">
        <v>0</v>
      </c>
      <c r="J24" s="66"/>
    </row>
    <row r="25" spans="1:10" x14ac:dyDescent="0.25">
      <c r="A25" s="264"/>
      <c r="B25" s="65" t="s">
        <v>242</v>
      </c>
      <c r="C25" s="66">
        <v>0</v>
      </c>
      <c r="D25" s="66"/>
      <c r="E25" s="66"/>
      <c r="F25" s="66"/>
      <c r="G25" s="66">
        <v>0</v>
      </c>
      <c r="H25" s="66"/>
      <c r="I25" s="66">
        <v>0</v>
      </c>
      <c r="J25" s="66"/>
    </row>
    <row r="26" spans="1:10" x14ac:dyDescent="0.25">
      <c r="A26" s="264"/>
      <c r="B26" s="65" t="s">
        <v>243</v>
      </c>
      <c r="C26" s="66">
        <v>13</v>
      </c>
      <c r="D26" s="66"/>
      <c r="E26" s="66"/>
      <c r="F26" s="66"/>
      <c r="G26" s="66">
        <v>49</v>
      </c>
      <c r="H26" s="66"/>
      <c r="I26" s="66">
        <v>12</v>
      </c>
      <c r="J26" s="66"/>
    </row>
    <row r="27" spans="1:10" x14ac:dyDescent="0.25">
      <c r="A27" s="264"/>
      <c r="B27" s="65" t="s">
        <v>244</v>
      </c>
      <c r="C27" s="66">
        <v>0</v>
      </c>
      <c r="D27" s="66"/>
      <c r="E27" s="66"/>
      <c r="F27" s="66"/>
      <c r="G27" s="66">
        <v>0</v>
      </c>
      <c r="H27" s="66"/>
      <c r="I27" s="66">
        <v>0</v>
      </c>
      <c r="J27" s="66"/>
    </row>
    <row r="28" spans="1:10" x14ac:dyDescent="0.25">
      <c r="A28" s="264" t="s">
        <v>120</v>
      </c>
      <c r="B28" s="65" t="s">
        <v>241</v>
      </c>
      <c r="C28" s="66">
        <v>6</v>
      </c>
      <c r="D28" s="66"/>
      <c r="E28" s="66"/>
      <c r="F28" s="66"/>
      <c r="G28" s="66">
        <v>551</v>
      </c>
      <c r="H28" s="66"/>
      <c r="I28" s="66">
        <v>0</v>
      </c>
      <c r="J28" s="66"/>
    </row>
    <row r="29" spans="1:10" x14ac:dyDescent="0.25">
      <c r="A29" s="264"/>
      <c r="B29" s="65" t="s">
        <v>242</v>
      </c>
      <c r="C29" s="66">
        <v>0</v>
      </c>
      <c r="D29" s="66"/>
      <c r="E29" s="66"/>
      <c r="F29" s="66"/>
      <c r="G29" s="66">
        <v>0</v>
      </c>
      <c r="H29" s="66"/>
      <c r="I29" s="66">
        <v>0</v>
      </c>
      <c r="J29" s="66"/>
    </row>
    <row r="30" spans="1:10" x14ac:dyDescent="0.25">
      <c r="A30" s="264"/>
      <c r="B30" s="65" t="s">
        <v>243</v>
      </c>
      <c r="C30" s="66">
        <v>9</v>
      </c>
      <c r="D30" s="66"/>
      <c r="E30" s="66"/>
      <c r="F30" s="66"/>
      <c r="G30" s="66">
        <v>33</v>
      </c>
      <c r="H30" s="66"/>
      <c r="I30" s="66">
        <v>10</v>
      </c>
      <c r="J30" s="66"/>
    </row>
    <row r="31" spans="1:10" x14ac:dyDescent="0.25">
      <c r="A31" s="264"/>
      <c r="B31" s="65" t="s">
        <v>244</v>
      </c>
      <c r="C31" s="66">
        <v>0</v>
      </c>
      <c r="D31" s="66"/>
      <c r="E31" s="66"/>
      <c r="F31" s="66"/>
      <c r="G31" s="66">
        <v>0</v>
      </c>
      <c r="H31" s="66"/>
      <c r="I31" s="66">
        <v>0</v>
      </c>
      <c r="J31" s="66"/>
    </row>
    <row r="32" spans="1:10" x14ac:dyDescent="0.25">
      <c r="A32" s="264" t="s">
        <v>121</v>
      </c>
      <c r="B32" s="65" t="s">
        <v>241</v>
      </c>
      <c r="C32" s="66">
        <v>15</v>
      </c>
      <c r="D32" s="66"/>
      <c r="E32" s="66"/>
      <c r="F32" s="66"/>
      <c r="G32" s="66">
        <v>287</v>
      </c>
      <c r="H32" s="66"/>
      <c r="I32" s="66">
        <v>0</v>
      </c>
      <c r="J32" s="66"/>
    </row>
    <row r="33" spans="1:10" x14ac:dyDescent="0.25">
      <c r="A33" s="264"/>
      <c r="B33" s="65" t="s">
        <v>242</v>
      </c>
      <c r="C33" s="66">
        <v>0</v>
      </c>
      <c r="D33" s="66"/>
      <c r="E33" s="66"/>
      <c r="F33" s="66"/>
      <c r="G33" s="66">
        <v>0</v>
      </c>
      <c r="H33" s="66"/>
      <c r="I33" s="66">
        <v>0</v>
      </c>
      <c r="J33" s="66"/>
    </row>
    <row r="34" spans="1:10" x14ac:dyDescent="0.25">
      <c r="A34" s="264"/>
      <c r="B34" s="65" t="s">
        <v>243</v>
      </c>
      <c r="C34" s="66">
        <v>19</v>
      </c>
      <c r="D34" s="66"/>
      <c r="E34" s="66"/>
      <c r="F34" s="66"/>
      <c r="G34" s="66">
        <v>52</v>
      </c>
      <c r="H34" s="66"/>
      <c r="I34" s="66">
        <v>35</v>
      </c>
      <c r="J34" s="66"/>
    </row>
    <row r="35" spans="1:10" x14ac:dyDescent="0.25">
      <c r="A35" s="264"/>
      <c r="B35" s="65" t="s">
        <v>244</v>
      </c>
      <c r="C35" s="66">
        <v>0</v>
      </c>
      <c r="D35" s="66"/>
      <c r="E35" s="66"/>
      <c r="F35" s="66"/>
      <c r="G35" s="66">
        <v>0</v>
      </c>
      <c r="H35" s="66"/>
      <c r="I35" s="66">
        <v>0</v>
      </c>
      <c r="J35" s="66"/>
    </row>
    <row r="36" spans="1:10" x14ac:dyDescent="0.25">
      <c r="A36" s="267" t="s">
        <v>501</v>
      </c>
      <c r="B36" s="65" t="s">
        <v>241</v>
      </c>
      <c r="C36" s="66">
        <v>2</v>
      </c>
      <c r="D36" s="66"/>
      <c r="E36" s="66"/>
      <c r="F36" s="66"/>
      <c r="G36" s="66">
        <v>19</v>
      </c>
      <c r="H36" s="66"/>
      <c r="I36" s="66">
        <v>3</v>
      </c>
      <c r="J36" s="66"/>
    </row>
    <row r="37" spans="1:10" x14ac:dyDescent="0.25">
      <c r="A37" s="267"/>
      <c r="B37" s="65" t="s">
        <v>242</v>
      </c>
      <c r="C37" s="66">
        <v>0</v>
      </c>
      <c r="D37" s="66"/>
      <c r="E37" s="66"/>
      <c r="F37" s="66"/>
      <c r="G37" s="66">
        <v>0</v>
      </c>
      <c r="H37" s="66"/>
      <c r="I37" s="66">
        <v>0</v>
      </c>
      <c r="J37" s="66"/>
    </row>
    <row r="38" spans="1:10" x14ac:dyDescent="0.25">
      <c r="A38" s="267"/>
      <c r="B38" s="65" t="s">
        <v>243</v>
      </c>
      <c r="C38" s="66">
        <v>4</v>
      </c>
      <c r="D38" s="66"/>
      <c r="E38" s="66"/>
      <c r="F38" s="66"/>
      <c r="G38" s="66">
        <v>10</v>
      </c>
      <c r="H38" s="66"/>
      <c r="I38" s="66">
        <v>10</v>
      </c>
      <c r="J38" s="66"/>
    </row>
    <row r="39" spans="1:10" x14ac:dyDescent="0.25">
      <c r="A39" s="267"/>
      <c r="B39" s="65" t="s">
        <v>244</v>
      </c>
      <c r="C39" s="66">
        <v>0</v>
      </c>
      <c r="D39" s="66"/>
      <c r="E39" s="66"/>
      <c r="F39" s="66"/>
      <c r="G39" s="66">
        <v>0</v>
      </c>
      <c r="H39" s="66"/>
      <c r="I39" s="66">
        <v>0</v>
      </c>
      <c r="J39" s="66"/>
    </row>
    <row r="40" spans="1:10" x14ac:dyDescent="0.25">
      <c r="A40" s="265" t="s">
        <v>245</v>
      </c>
      <c r="B40" s="68" t="s">
        <v>241</v>
      </c>
      <c r="C40" s="172">
        <v>131</v>
      </c>
      <c r="D40" s="172"/>
      <c r="E40" s="172"/>
      <c r="F40" s="172"/>
      <c r="G40" s="172">
        <v>1837</v>
      </c>
      <c r="H40" s="69">
        <f t="shared" ref="H40:J42" si="0">H4+H8+H12+H16+H20+H24+H28+H32</f>
        <v>0</v>
      </c>
      <c r="I40" s="172">
        <v>16</v>
      </c>
      <c r="J40" s="69">
        <f t="shared" si="0"/>
        <v>0</v>
      </c>
    </row>
    <row r="41" spans="1:10" x14ac:dyDescent="0.25">
      <c r="A41" s="265"/>
      <c r="B41" s="68" t="s">
        <v>242</v>
      </c>
      <c r="C41" s="172">
        <v>0</v>
      </c>
      <c r="D41" s="172"/>
      <c r="E41" s="172"/>
      <c r="F41" s="172"/>
      <c r="G41" s="172">
        <v>0</v>
      </c>
      <c r="H41" s="69">
        <f t="shared" si="0"/>
        <v>0</v>
      </c>
      <c r="I41" s="172">
        <v>0</v>
      </c>
      <c r="J41" s="69">
        <f t="shared" si="0"/>
        <v>0</v>
      </c>
    </row>
    <row r="42" spans="1:10" x14ac:dyDescent="0.25">
      <c r="A42" s="265"/>
      <c r="B42" s="68" t="s">
        <v>243</v>
      </c>
      <c r="C42" s="172">
        <v>156</v>
      </c>
      <c r="D42" s="172"/>
      <c r="E42" s="172"/>
      <c r="F42" s="172"/>
      <c r="G42" s="172">
        <v>678</v>
      </c>
      <c r="H42" s="69">
        <f t="shared" si="0"/>
        <v>0</v>
      </c>
      <c r="I42" s="172">
        <v>280</v>
      </c>
      <c r="J42" s="69">
        <f t="shared" si="0"/>
        <v>0</v>
      </c>
    </row>
    <row r="43" spans="1:10" x14ac:dyDescent="0.25">
      <c r="A43" s="265"/>
      <c r="B43" s="68" t="s">
        <v>244</v>
      </c>
      <c r="C43" s="172">
        <v>0</v>
      </c>
      <c r="D43" s="172"/>
      <c r="E43" s="172"/>
      <c r="F43" s="172"/>
      <c r="G43" s="172">
        <v>0</v>
      </c>
      <c r="H43" s="69">
        <f t="shared" ref="H43:J43" si="1">H7+H11+H15+H19+H23+H27+H35+H31</f>
        <v>0</v>
      </c>
      <c r="I43" s="172">
        <v>0</v>
      </c>
      <c r="J43" s="69">
        <f t="shared" si="1"/>
        <v>0</v>
      </c>
    </row>
    <row r="44" spans="1:10" ht="21" customHeight="1" x14ac:dyDescent="0.25">
      <c r="A44" s="266" t="s">
        <v>246</v>
      </c>
      <c r="B44" s="266"/>
      <c r="C44" s="170">
        <v>287</v>
      </c>
      <c r="D44" s="170"/>
      <c r="E44" s="170"/>
      <c r="F44" s="170"/>
      <c r="G44" s="170">
        <v>2515</v>
      </c>
      <c r="H44" s="67">
        <f t="shared" ref="H44:J44" si="2">H40+H42+H41+H43</f>
        <v>0</v>
      </c>
      <c r="I44" s="170">
        <v>299</v>
      </c>
      <c r="J44" s="67">
        <f t="shared" si="2"/>
        <v>0</v>
      </c>
    </row>
  </sheetData>
  <mergeCells count="18">
    <mergeCell ref="A1:A3"/>
    <mergeCell ref="B1:B3"/>
    <mergeCell ref="C1:D2"/>
    <mergeCell ref="E1:F2"/>
    <mergeCell ref="G1:J1"/>
    <mergeCell ref="G2:H2"/>
    <mergeCell ref="I2:J2"/>
    <mergeCell ref="A28:A31"/>
    <mergeCell ref="A32:A35"/>
    <mergeCell ref="A40:A43"/>
    <mergeCell ref="A44:B44"/>
    <mergeCell ref="A4:A7"/>
    <mergeCell ref="A8:A11"/>
    <mergeCell ref="A12:A15"/>
    <mergeCell ref="A16:A19"/>
    <mergeCell ref="A20:A23"/>
    <mergeCell ref="A24:A27"/>
    <mergeCell ref="A36:A39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zoomScaleNormal="100" workbookViewId="0">
      <selection sqref="A1:H3"/>
    </sheetView>
  </sheetViews>
  <sheetFormatPr defaultRowHeight="15" x14ac:dyDescent="0.25"/>
  <cols>
    <col min="1" max="1" width="19.7109375" customWidth="1"/>
    <col min="2" max="2" width="55.42578125" customWidth="1"/>
    <col min="3" max="4" width="19.5703125" customWidth="1"/>
    <col min="5" max="8" width="13.7109375" customWidth="1"/>
  </cols>
  <sheetData>
    <row r="1" spans="1:8" ht="24.6" customHeight="1" x14ac:dyDescent="0.25">
      <c r="A1" s="268" t="s">
        <v>247</v>
      </c>
      <c r="B1" s="268" t="s">
        <v>577</v>
      </c>
      <c r="C1" s="268" t="s">
        <v>248</v>
      </c>
      <c r="D1" s="268"/>
      <c r="E1" s="268" t="s">
        <v>249</v>
      </c>
      <c r="F1" s="268"/>
      <c r="G1" s="268"/>
      <c r="H1" s="268"/>
    </row>
    <row r="2" spans="1:8" ht="24.6" customHeight="1" x14ac:dyDescent="0.25">
      <c r="A2" s="268"/>
      <c r="B2" s="268"/>
      <c r="C2" s="268"/>
      <c r="D2" s="268"/>
      <c r="E2" s="269" t="s">
        <v>239</v>
      </c>
      <c r="F2" s="269"/>
      <c r="G2" s="269" t="s">
        <v>250</v>
      </c>
      <c r="H2" s="269"/>
    </row>
    <row r="3" spans="1:8" ht="24.6" customHeight="1" x14ac:dyDescent="0.25">
      <c r="A3" s="268"/>
      <c r="B3" s="268"/>
      <c r="C3" s="191" t="s">
        <v>227</v>
      </c>
      <c r="D3" s="191" t="s">
        <v>575</v>
      </c>
      <c r="E3" s="191" t="s">
        <v>227</v>
      </c>
      <c r="F3" s="191" t="s">
        <v>575</v>
      </c>
      <c r="G3" s="191" t="s">
        <v>227</v>
      </c>
      <c r="H3" s="191" t="s">
        <v>575</v>
      </c>
    </row>
    <row r="4" spans="1:8" x14ac:dyDescent="0.25">
      <c r="A4" s="270" t="s">
        <v>113</v>
      </c>
      <c r="B4" s="70" t="s">
        <v>276</v>
      </c>
      <c r="C4" s="181">
        <v>300</v>
      </c>
      <c r="D4" s="181"/>
      <c r="E4" s="181">
        <v>44466</v>
      </c>
      <c r="F4" s="181"/>
      <c r="G4" s="181">
        <v>785002</v>
      </c>
      <c r="H4" s="181"/>
    </row>
    <row r="5" spans="1:8" x14ac:dyDescent="0.25">
      <c r="A5" s="271"/>
      <c r="B5" s="71" t="s">
        <v>251</v>
      </c>
      <c r="C5" s="184">
        <v>3</v>
      </c>
      <c r="D5" s="184"/>
      <c r="E5" s="184">
        <v>3</v>
      </c>
      <c r="F5" s="184"/>
      <c r="G5" s="184">
        <v>3</v>
      </c>
      <c r="H5" s="184"/>
    </row>
    <row r="6" spans="1:8" x14ac:dyDescent="0.25">
      <c r="A6" s="271"/>
      <c r="B6" s="71" t="s">
        <v>252</v>
      </c>
      <c r="C6" s="184">
        <v>2</v>
      </c>
      <c r="D6" s="184"/>
      <c r="E6" s="184">
        <v>2</v>
      </c>
      <c r="F6" s="184"/>
      <c r="G6" s="184">
        <v>2</v>
      </c>
      <c r="H6" s="184"/>
    </row>
    <row r="7" spans="1:8" x14ac:dyDescent="0.25">
      <c r="A7" s="271"/>
      <c r="B7" s="71" t="s">
        <v>253</v>
      </c>
      <c r="C7" s="184">
        <v>8</v>
      </c>
      <c r="D7" s="184"/>
      <c r="E7" s="184">
        <v>39745</v>
      </c>
      <c r="F7" s="184"/>
      <c r="G7" s="184">
        <v>784507</v>
      </c>
      <c r="H7" s="184"/>
    </row>
    <row r="8" spans="1:8" x14ac:dyDescent="0.25">
      <c r="A8" s="271"/>
      <c r="B8" s="71" t="s">
        <v>254</v>
      </c>
      <c r="C8" s="184">
        <v>0</v>
      </c>
      <c r="D8" s="184"/>
      <c r="E8" s="184">
        <v>0</v>
      </c>
      <c r="F8" s="184"/>
      <c r="G8" s="184">
        <v>0</v>
      </c>
      <c r="H8" s="184"/>
    </row>
    <row r="9" spans="1:8" x14ac:dyDescent="0.25">
      <c r="A9" s="271"/>
      <c r="B9" s="71" t="s">
        <v>255</v>
      </c>
      <c r="C9" s="184">
        <v>25</v>
      </c>
      <c r="D9" s="184"/>
      <c r="E9" s="184">
        <v>272</v>
      </c>
      <c r="F9" s="184"/>
      <c r="G9" s="184">
        <v>0</v>
      </c>
      <c r="H9" s="184"/>
    </row>
    <row r="10" spans="1:8" x14ac:dyDescent="0.25">
      <c r="A10" s="271"/>
      <c r="B10" s="71" t="s">
        <v>256</v>
      </c>
      <c r="C10" s="184">
        <v>2</v>
      </c>
      <c r="D10" s="184"/>
      <c r="E10" s="184">
        <v>3</v>
      </c>
      <c r="F10" s="184"/>
      <c r="G10" s="184">
        <v>0</v>
      </c>
      <c r="H10" s="184"/>
    </row>
    <row r="11" spans="1:8" x14ac:dyDescent="0.25">
      <c r="A11" s="271"/>
      <c r="B11" s="71" t="s">
        <v>257</v>
      </c>
      <c r="C11" s="184">
        <v>7</v>
      </c>
      <c r="D11" s="184"/>
      <c r="E11" s="184">
        <v>69</v>
      </c>
      <c r="F11" s="184"/>
      <c r="G11" s="184">
        <v>2</v>
      </c>
      <c r="H11" s="184"/>
    </row>
    <row r="12" spans="1:8" x14ac:dyDescent="0.25">
      <c r="A12" s="271"/>
      <c r="B12" s="71" t="s">
        <v>258</v>
      </c>
      <c r="C12" s="184">
        <v>1</v>
      </c>
      <c r="D12" s="184"/>
      <c r="E12" s="184">
        <v>2</v>
      </c>
      <c r="F12" s="184"/>
      <c r="G12" s="184">
        <v>1</v>
      </c>
      <c r="H12" s="184"/>
    </row>
    <row r="13" spans="1:8" x14ac:dyDescent="0.25">
      <c r="A13" s="271"/>
      <c r="B13" s="71" t="s">
        <v>259</v>
      </c>
      <c r="C13" s="184">
        <v>6</v>
      </c>
      <c r="D13" s="184"/>
      <c r="E13" s="184">
        <v>7</v>
      </c>
      <c r="F13" s="184"/>
      <c r="G13" s="184">
        <v>7</v>
      </c>
      <c r="H13" s="184"/>
    </row>
    <row r="14" spans="1:8" x14ac:dyDescent="0.25">
      <c r="A14" s="271"/>
      <c r="B14" s="71" t="s">
        <v>260</v>
      </c>
      <c r="C14" s="184">
        <v>0</v>
      </c>
      <c r="D14" s="184"/>
      <c r="E14" s="184">
        <v>0</v>
      </c>
      <c r="F14" s="184"/>
      <c r="G14" s="184">
        <v>0</v>
      </c>
      <c r="H14" s="184"/>
    </row>
    <row r="15" spans="1:8" x14ac:dyDescent="0.25">
      <c r="A15" s="271"/>
      <c r="B15" s="71" t="s">
        <v>261</v>
      </c>
      <c r="C15" s="184">
        <v>0</v>
      </c>
      <c r="D15" s="184"/>
      <c r="E15" s="184">
        <v>0</v>
      </c>
      <c r="F15" s="184"/>
      <c r="G15" s="184">
        <v>0</v>
      </c>
      <c r="H15" s="184"/>
    </row>
    <row r="16" spans="1:8" x14ac:dyDescent="0.25">
      <c r="A16" s="271"/>
      <c r="B16" s="71" t="s">
        <v>262</v>
      </c>
      <c r="C16" s="184">
        <v>1</v>
      </c>
      <c r="D16" s="184"/>
      <c r="E16" s="184">
        <v>27</v>
      </c>
      <c r="F16" s="184"/>
      <c r="G16" s="184">
        <v>70</v>
      </c>
      <c r="H16" s="184"/>
    </row>
    <row r="17" spans="1:8" x14ac:dyDescent="0.25">
      <c r="A17" s="271"/>
      <c r="B17" s="71" t="s">
        <v>263</v>
      </c>
      <c r="C17" s="184">
        <v>12</v>
      </c>
      <c r="D17" s="184"/>
      <c r="E17" s="184">
        <v>46</v>
      </c>
      <c r="F17" s="184"/>
      <c r="G17" s="184">
        <v>57</v>
      </c>
      <c r="H17" s="184"/>
    </row>
    <row r="18" spans="1:8" x14ac:dyDescent="0.25">
      <c r="A18" s="271"/>
      <c r="B18" s="71" t="s">
        <v>264</v>
      </c>
      <c r="C18" s="184">
        <v>0</v>
      </c>
      <c r="D18" s="184"/>
      <c r="E18" s="184">
        <v>0</v>
      </c>
      <c r="F18" s="184"/>
      <c r="G18" s="184">
        <v>0</v>
      </c>
      <c r="H18" s="184"/>
    </row>
    <row r="19" spans="1:8" x14ac:dyDescent="0.25">
      <c r="A19" s="271"/>
      <c r="B19" s="71" t="s">
        <v>265</v>
      </c>
      <c r="C19" s="184">
        <v>1</v>
      </c>
      <c r="D19" s="184"/>
      <c r="E19" s="184">
        <v>18</v>
      </c>
      <c r="F19" s="184"/>
      <c r="G19" s="184">
        <v>0</v>
      </c>
      <c r="H19" s="184"/>
    </row>
    <row r="20" spans="1:8" x14ac:dyDescent="0.25">
      <c r="A20" s="271"/>
      <c r="B20" s="71" t="s">
        <v>266</v>
      </c>
      <c r="C20" s="184">
        <v>12</v>
      </c>
      <c r="D20" s="184"/>
      <c r="E20" s="184">
        <v>60</v>
      </c>
      <c r="F20" s="184"/>
      <c r="G20" s="184">
        <v>57</v>
      </c>
      <c r="H20" s="184"/>
    </row>
    <row r="21" spans="1:8" x14ac:dyDescent="0.25">
      <c r="A21" s="271"/>
      <c r="B21" s="71" t="s">
        <v>267</v>
      </c>
      <c r="C21" s="184">
        <v>206</v>
      </c>
      <c r="D21" s="184"/>
      <c r="E21" s="184">
        <v>738</v>
      </c>
      <c r="F21" s="184"/>
      <c r="G21" s="184">
        <v>0</v>
      </c>
      <c r="H21" s="184"/>
    </row>
    <row r="22" spans="1:8" x14ac:dyDescent="0.25">
      <c r="A22" s="271"/>
      <c r="B22" s="71" t="s">
        <v>268</v>
      </c>
      <c r="C22" s="184">
        <v>0</v>
      </c>
      <c r="D22" s="184"/>
      <c r="E22" s="184">
        <v>0</v>
      </c>
      <c r="F22" s="184"/>
      <c r="G22" s="184">
        <v>0</v>
      </c>
      <c r="H22" s="184"/>
    </row>
    <row r="23" spans="1:8" x14ac:dyDescent="0.25">
      <c r="A23" s="271"/>
      <c r="B23" s="71" t="s">
        <v>269</v>
      </c>
      <c r="C23" s="184">
        <v>0</v>
      </c>
      <c r="D23" s="184"/>
      <c r="E23" s="184">
        <v>0</v>
      </c>
      <c r="F23" s="184"/>
      <c r="G23" s="184">
        <v>0</v>
      </c>
      <c r="H23" s="184"/>
    </row>
    <row r="24" spans="1:8" x14ac:dyDescent="0.25">
      <c r="A24" s="271"/>
      <c r="B24" s="71" t="s">
        <v>270</v>
      </c>
      <c r="C24" s="184">
        <v>7</v>
      </c>
      <c r="D24" s="184"/>
      <c r="E24" s="184">
        <v>21</v>
      </c>
      <c r="F24" s="184"/>
      <c r="G24" s="184">
        <v>13</v>
      </c>
      <c r="H24" s="184"/>
    </row>
    <row r="25" spans="1:8" x14ac:dyDescent="0.25">
      <c r="A25" s="271"/>
      <c r="B25" s="71" t="s">
        <v>271</v>
      </c>
      <c r="C25" s="184">
        <v>6</v>
      </c>
      <c r="D25" s="184"/>
      <c r="E25" s="184">
        <v>22</v>
      </c>
      <c r="F25" s="184"/>
      <c r="G25" s="184">
        <v>22</v>
      </c>
      <c r="H25" s="184"/>
    </row>
    <row r="26" spans="1:8" x14ac:dyDescent="0.25">
      <c r="A26" s="271"/>
      <c r="B26" s="71" t="s">
        <v>272</v>
      </c>
      <c r="C26" s="184">
        <v>1</v>
      </c>
      <c r="D26" s="184"/>
      <c r="E26" s="184">
        <v>18</v>
      </c>
      <c r="F26" s="184"/>
      <c r="G26" s="184">
        <v>0</v>
      </c>
      <c r="H26" s="184"/>
    </row>
    <row r="27" spans="1:8" x14ac:dyDescent="0.25">
      <c r="A27" s="271"/>
      <c r="B27" s="71" t="s">
        <v>273</v>
      </c>
      <c r="C27" s="184">
        <v>0</v>
      </c>
      <c r="D27" s="184"/>
      <c r="E27" s="184">
        <v>0</v>
      </c>
      <c r="F27" s="184"/>
      <c r="G27" s="184">
        <v>0</v>
      </c>
      <c r="H27" s="184"/>
    </row>
    <row r="28" spans="1:8" x14ac:dyDescent="0.25">
      <c r="A28" s="271"/>
      <c r="B28" s="71" t="s">
        <v>274</v>
      </c>
      <c r="C28" s="184">
        <v>0</v>
      </c>
      <c r="D28" s="184"/>
      <c r="E28" s="184">
        <v>3413</v>
      </c>
      <c r="F28" s="184"/>
      <c r="G28" s="184">
        <v>261</v>
      </c>
      <c r="H28" s="184"/>
    </row>
    <row r="29" spans="1:8" x14ac:dyDescent="0.25">
      <c r="A29" s="271"/>
      <c r="B29" s="71" t="s">
        <v>275</v>
      </c>
      <c r="C29" s="184">
        <v>0</v>
      </c>
      <c r="D29" s="184"/>
      <c r="E29" s="184">
        <v>0</v>
      </c>
      <c r="F29" s="184"/>
      <c r="G29" s="184">
        <v>0</v>
      </c>
      <c r="H29" s="184"/>
    </row>
    <row r="30" spans="1:8" s="177" customFormat="1" x14ac:dyDescent="0.25">
      <c r="A30" s="271"/>
      <c r="B30" s="178" t="s">
        <v>586</v>
      </c>
      <c r="C30" s="184">
        <v>0</v>
      </c>
      <c r="D30" s="184"/>
      <c r="E30" s="184">
        <v>0</v>
      </c>
      <c r="F30" s="184"/>
      <c r="G30" s="184">
        <v>0</v>
      </c>
      <c r="H30" s="184"/>
    </row>
    <row r="31" spans="1:8" s="177" customFormat="1" x14ac:dyDescent="0.25">
      <c r="A31" s="271"/>
      <c r="B31" s="178" t="s">
        <v>587</v>
      </c>
      <c r="C31" s="184">
        <v>0</v>
      </c>
      <c r="D31" s="184"/>
      <c r="E31" s="184">
        <v>0</v>
      </c>
      <c r="F31" s="184"/>
      <c r="G31" s="184">
        <v>0</v>
      </c>
      <c r="H31" s="184"/>
    </row>
    <row r="32" spans="1:8" s="177" customFormat="1" x14ac:dyDescent="0.25">
      <c r="A32" s="272"/>
      <c r="B32" s="178" t="s">
        <v>588</v>
      </c>
      <c r="C32" s="184">
        <v>0</v>
      </c>
      <c r="D32" s="184"/>
      <c r="E32" s="184">
        <v>0</v>
      </c>
      <c r="F32" s="184"/>
      <c r="G32" s="184">
        <v>0</v>
      </c>
      <c r="H32" s="184"/>
    </row>
    <row r="33" spans="1:8" x14ac:dyDescent="0.25">
      <c r="A33" s="270" t="s">
        <v>115</v>
      </c>
      <c r="B33" s="70" t="s">
        <v>276</v>
      </c>
      <c r="C33" s="181">
        <v>650</v>
      </c>
      <c r="D33" s="181"/>
      <c r="E33" s="181">
        <v>5356</v>
      </c>
      <c r="F33" s="181"/>
      <c r="G33" s="181">
        <v>1006</v>
      </c>
      <c r="H33" s="181"/>
    </row>
    <row r="34" spans="1:8" x14ac:dyDescent="0.25">
      <c r="A34" s="271"/>
      <c r="B34" s="71" t="s">
        <v>251</v>
      </c>
      <c r="C34" s="184">
        <v>38</v>
      </c>
      <c r="D34" s="184"/>
      <c r="E34" s="184">
        <v>38</v>
      </c>
      <c r="F34" s="184"/>
      <c r="G34" s="184">
        <v>38</v>
      </c>
      <c r="H34" s="184"/>
    </row>
    <row r="35" spans="1:8" x14ac:dyDescent="0.25">
      <c r="A35" s="271"/>
      <c r="B35" s="71" t="s">
        <v>252</v>
      </c>
      <c r="C35" s="184">
        <v>20</v>
      </c>
      <c r="D35" s="184"/>
      <c r="E35" s="184">
        <v>20</v>
      </c>
      <c r="F35" s="184"/>
      <c r="G35" s="184">
        <v>20</v>
      </c>
      <c r="H35" s="184"/>
    </row>
    <row r="36" spans="1:8" x14ac:dyDescent="0.25">
      <c r="A36" s="271"/>
      <c r="B36" s="71" t="s">
        <v>253</v>
      </c>
      <c r="C36" s="184">
        <v>0</v>
      </c>
      <c r="D36" s="184"/>
      <c r="E36" s="184">
        <v>0</v>
      </c>
      <c r="F36" s="184"/>
      <c r="G36" s="184">
        <v>0</v>
      </c>
      <c r="H36" s="184"/>
    </row>
    <row r="37" spans="1:8" x14ac:dyDescent="0.25">
      <c r="A37" s="271"/>
      <c r="B37" s="71" t="s">
        <v>254</v>
      </c>
      <c r="C37" s="184">
        <v>0</v>
      </c>
      <c r="D37" s="184"/>
      <c r="E37" s="184">
        <v>0</v>
      </c>
      <c r="F37" s="184"/>
      <c r="G37" s="184">
        <v>0</v>
      </c>
      <c r="H37" s="184"/>
    </row>
    <row r="38" spans="1:8" x14ac:dyDescent="0.25">
      <c r="A38" s="271"/>
      <c r="B38" s="71" t="s">
        <v>255</v>
      </c>
      <c r="C38" s="184">
        <v>15</v>
      </c>
      <c r="D38" s="184"/>
      <c r="E38" s="184">
        <v>198</v>
      </c>
      <c r="F38" s="184"/>
      <c r="G38" s="184">
        <v>0</v>
      </c>
      <c r="H38" s="184"/>
    </row>
    <row r="39" spans="1:8" x14ac:dyDescent="0.25">
      <c r="A39" s="271"/>
      <c r="B39" s="71" t="s">
        <v>256</v>
      </c>
      <c r="C39" s="184">
        <v>0</v>
      </c>
      <c r="D39" s="184"/>
      <c r="E39" s="184">
        <v>0</v>
      </c>
      <c r="F39" s="184"/>
      <c r="G39" s="184">
        <v>0</v>
      </c>
      <c r="H39" s="184"/>
    </row>
    <row r="40" spans="1:8" x14ac:dyDescent="0.25">
      <c r="A40" s="271"/>
      <c r="B40" s="71" t="s">
        <v>257</v>
      </c>
      <c r="C40" s="184">
        <v>18</v>
      </c>
      <c r="D40" s="184"/>
      <c r="E40" s="184">
        <v>255</v>
      </c>
      <c r="F40" s="184"/>
      <c r="G40" s="184">
        <v>25</v>
      </c>
      <c r="H40" s="184"/>
    </row>
    <row r="41" spans="1:8" x14ac:dyDescent="0.25">
      <c r="A41" s="271"/>
      <c r="B41" s="71" t="s">
        <v>258</v>
      </c>
      <c r="C41" s="184">
        <v>8</v>
      </c>
      <c r="D41" s="184"/>
      <c r="E41" s="184">
        <v>253</v>
      </c>
      <c r="F41" s="184"/>
      <c r="G41" s="184">
        <v>129</v>
      </c>
      <c r="H41" s="184"/>
    </row>
    <row r="42" spans="1:8" x14ac:dyDescent="0.25">
      <c r="A42" s="271"/>
      <c r="B42" s="71" t="s">
        <v>259</v>
      </c>
      <c r="C42" s="184">
        <v>8</v>
      </c>
      <c r="D42" s="184"/>
      <c r="E42" s="184">
        <v>34</v>
      </c>
      <c r="F42" s="184"/>
      <c r="G42" s="184">
        <v>13</v>
      </c>
      <c r="H42" s="184"/>
    </row>
    <row r="43" spans="1:8" x14ac:dyDescent="0.25">
      <c r="A43" s="271"/>
      <c r="B43" s="71" t="s">
        <v>260</v>
      </c>
      <c r="C43" s="184">
        <v>1</v>
      </c>
      <c r="D43" s="184"/>
      <c r="E43" s="184">
        <v>1</v>
      </c>
      <c r="F43" s="184"/>
      <c r="G43" s="184">
        <v>1</v>
      </c>
      <c r="H43" s="184"/>
    </row>
    <row r="44" spans="1:8" x14ac:dyDescent="0.25">
      <c r="A44" s="271"/>
      <c r="B44" s="71" t="s">
        <v>261</v>
      </c>
      <c r="C44" s="184">
        <v>0</v>
      </c>
      <c r="D44" s="184"/>
      <c r="E44" s="184">
        <v>0</v>
      </c>
      <c r="F44" s="184"/>
      <c r="G44" s="184">
        <v>0</v>
      </c>
      <c r="H44" s="184"/>
    </row>
    <row r="45" spans="1:8" x14ac:dyDescent="0.25">
      <c r="A45" s="271"/>
      <c r="B45" s="71" t="s">
        <v>262</v>
      </c>
      <c r="C45" s="184">
        <v>1</v>
      </c>
      <c r="D45" s="184"/>
      <c r="E45" s="184">
        <v>20</v>
      </c>
      <c r="F45" s="184"/>
      <c r="G45" s="184">
        <v>678</v>
      </c>
      <c r="H45" s="184"/>
    </row>
    <row r="46" spans="1:8" x14ac:dyDescent="0.25">
      <c r="A46" s="271"/>
      <c r="B46" s="71" t="s">
        <v>263</v>
      </c>
      <c r="C46" s="184">
        <v>0</v>
      </c>
      <c r="D46" s="184"/>
      <c r="E46" s="184">
        <v>0</v>
      </c>
      <c r="F46" s="184"/>
      <c r="G46" s="184">
        <v>0</v>
      </c>
      <c r="H46" s="184"/>
    </row>
    <row r="47" spans="1:8" x14ac:dyDescent="0.25">
      <c r="A47" s="271"/>
      <c r="B47" s="71" t="s">
        <v>264</v>
      </c>
      <c r="C47" s="184">
        <v>0</v>
      </c>
      <c r="D47" s="184"/>
      <c r="E47" s="184">
        <v>0</v>
      </c>
      <c r="F47" s="184"/>
      <c r="G47" s="184">
        <v>0</v>
      </c>
      <c r="H47" s="184"/>
    </row>
    <row r="48" spans="1:8" x14ac:dyDescent="0.25">
      <c r="A48" s="271"/>
      <c r="B48" s="71" t="s">
        <v>265</v>
      </c>
      <c r="C48" s="184">
        <v>139</v>
      </c>
      <c r="D48" s="184"/>
      <c r="E48" s="184">
        <v>688</v>
      </c>
      <c r="F48" s="184"/>
      <c r="G48" s="184">
        <v>1</v>
      </c>
      <c r="H48" s="184"/>
    </row>
    <row r="49" spans="1:8" x14ac:dyDescent="0.25">
      <c r="A49" s="271"/>
      <c r="B49" s="71" t="s">
        <v>266</v>
      </c>
      <c r="C49" s="184">
        <v>12</v>
      </c>
      <c r="D49" s="184"/>
      <c r="E49" s="184">
        <v>16</v>
      </c>
      <c r="F49" s="184"/>
      <c r="G49" s="184">
        <v>16</v>
      </c>
      <c r="H49" s="184"/>
    </row>
    <row r="50" spans="1:8" x14ac:dyDescent="0.25">
      <c r="A50" s="271"/>
      <c r="B50" s="71" t="s">
        <v>267</v>
      </c>
      <c r="C50" s="184">
        <v>379</v>
      </c>
      <c r="D50" s="184"/>
      <c r="E50" s="184">
        <v>3803</v>
      </c>
      <c r="F50" s="184"/>
      <c r="G50" s="184">
        <v>60</v>
      </c>
      <c r="H50" s="184"/>
    </row>
    <row r="51" spans="1:8" x14ac:dyDescent="0.25">
      <c r="A51" s="271"/>
      <c r="B51" s="71" t="s">
        <v>268</v>
      </c>
      <c r="C51" s="184">
        <v>0</v>
      </c>
      <c r="D51" s="184"/>
      <c r="E51" s="184">
        <v>0</v>
      </c>
      <c r="F51" s="184"/>
      <c r="G51" s="184">
        <v>0</v>
      </c>
      <c r="H51" s="184"/>
    </row>
    <row r="52" spans="1:8" x14ac:dyDescent="0.25">
      <c r="A52" s="271"/>
      <c r="B52" s="71" t="s">
        <v>269</v>
      </c>
      <c r="C52" s="184">
        <v>1</v>
      </c>
      <c r="D52" s="184"/>
      <c r="E52" s="184">
        <v>1</v>
      </c>
      <c r="F52" s="184"/>
      <c r="G52" s="184">
        <v>1</v>
      </c>
      <c r="H52" s="184"/>
    </row>
    <row r="53" spans="1:8" x14ac:dyDescent="0.25">
      <c r="A53" s="271"/>
      <c r="B53" s="71" t="s">
        <v>270</v>
      </c>
      <c r="C53" s="184">
        <v>0</v>
      </c>
      <c r="D53" s="184"/>
      <c r="E53" s="184">
        <v>0</v>
      </c>
      <c r="F53" s="184"/>
      <c r="G53" s="184">
        <v>0</v>
      </c>
      <c r="H53" s="184"/>
    </row>
    <row r="54" spans="1:8" x14ac:dyDescent="0.25">
      <c r="A54" s="271"/>
      <c r="B54" s="71" t="s">
        <v>271</v>
      </c>
      <c r="C54" s="184">
        <v>7</v>
      </c>
      <c r="D54" s="184"/>
      <c r="E54" s="184">
        <v>10</v>
      </c>
      <c r="F54" s="184"/>
      <c r="G54" s="184">
        <v>10</v>
      </c>
      <c r="H54" s="184"/>
    </row>
    <row r="55" spans="1:8" x14ac:dyDescent="0.25">
      <c r="A55" s="271"/>
      <c r="B55" s="71" t="s">
        <v>272</v>
      </c>
      <c r="C55" s="184">
        <v>0</v>
      </c>
      <c r="D55" s="184"/>
      <c r="E55" s="184">
        <v>0</v>
      </c>
      <c r="F55" s="184"/>
      <c r="G55" s="184">
        <v>0</v>
      </c>
      <c r="H55" s="184"/>
    </row>
    <row r="56" spans="1:8" x14ac:dyDescent="0.25">
      <c r="A56" s="271"/>
      <c r="B56" s="71" t="s">
        <v>273</v>
      </c>
      <c r="C56" s="184">
        <v>1</v>
      </c>
      <c r="D56" s="184"/>
      <c r="E56" s="184">
        <v>5</v>
      </c>
      <c r="F56" s="184"/>
      <c r="G56" s="184">
        <v>0</v>
      </c>
      <c r="H56" s="184"/>
    </row>
    <row r="57" spans="1:8" x14ac:dyDescent="0.25">
      <c r="A57" s="271"/>
      <c r="B57" s="71" t="s">
        <v>274</v>
      </c>
      <c r="C57" s="184">
        <v>0</v>
      </c>
      <c r="D57" s="184"/>
      <c r="E57" s="184">
        <v>0</v>
      </c>
      <c r="F57" s="184"/>
      <c r="G57" s="184">
        <v>0</v>
      </c>
      <c r="H57" s="184"/>
    </row>
    <row r="58" spans="1:8" x14ac:dyDescent="0.25">
      <c r="A58" s="271"/>
      <c r="B58" s="71" t="s">
        <v>275</v>
      </c>
      <c r="C58" s="184">
        <v>2</v>
      </c>
      <c r="D58" s="184"/>
      <c r="E58" s="184">
        <v>14</v>
      </c>
      <c r="F58" s="184"/>
      <c r="G58" s="184">
        <v>14</v>
      </c>
      <c r="H58" s="184"/>
    </row>
    <row r="59" spans="1:8" s="177" customFormat="1" x14ac:dyDescent="0.25">
      <c r="A59" s="179"/>
      <c r="B59" s="178" t="s">
        <v>586</v>
      </c>
      <c r="C59" s="184">
        <v>0</v>
      </c>
      <c r="D59" s="184"/>
      <c r="E59" s="184">
        <v>0</v>
      </c>
      <c r="F59" s="184"/>
      <c r="G59" s="184">
        <v>0</v>
      </c>
      <c r="H59" s="184"/>
    </row>
    <row r="60" spans="1:8" s="177" customFormat="1" x14ac:dyDescent="0.25">
      <c r="A60" s="179"/>
      <c r="B60" s="178" t="s">
        <v>587</v>
      </c>
      <c r="C60" s="184">
        <v>0</v>
      </c>
      <c r="D60" s="184"/>
      <c r="E60" s="184">
        <v>0</v>
      </c>
      <c r="F60" s="184"/>
      <c r="G60" s="184">
        <v>0</v>
      </c>
      <c r="H60" s="184"/>
    </row>
    <row r="61" spans="1:8" s="177" customFormat="1" x14ac:dyDescent="0.25">
      <c r="A61" s="179"/>
      <c r="B61" s="178" t="s">
        <v>588</v>
      </c>
      <c r="C61" s="184">
        <v>0</v>
      </c>
      <c r="D61" s="184"/>
      <c r="E61" s="184">
        <v>0</v>
      </c>
      <c r="F61" s="184"/>
      <c r="G61" s="184">
        <v>0</v>
      </c>
      <c r="H61" s="184"/>
    </row>
    <row r="62" spans="1:8" x14ac:dyDescent="0.25">
      <c r="A62" s="270" t="s">
        <v>116</v>
      </c>
      <c r="B62" s="70" t="s">
        <v>276</v>
      </c>
      <c r="C62" s="181">
        <v>282</v>
      </c>
      <c r="D62" s="181"/>
      <c r="E62" s="181">
        <v>484</v>
      </c>
      <c r="F62" s="181"/>
      <c r="G62" s="181">
        <v>933</v>
      </c>
      <c r="H62" s="181"/>
    </row>
    <row r="63" spans="1:8" x14ac:dyDescent="0.25">
      <c r="A63" s="271"/>
      <c r="B63" s="71" t="s">
        <v>251</v>
      </c>
      <c r="C63" s="184">
        <v>46</v>
      </c>
      <c r="D63" s="184"/>
      <c r="E63" s="184" t="s">
        <v>589</v>
      </c>
      <c r="F63" s="184"/>
      <c r="G63" s="184" t="s">
        <v>589</v>
      </c>
      <c r="H63" s="184"/>
    </row>
    <row r="64" spans="1:8" x14ac:dyDescent="0.25">
      <c r="A64" s="271"/>
      <c r="B64" s="71" t="s">
        <v>252</v>
      </c>
      <c r="C64" s="184">
        <v>5</v>
      </c>
      <c r="D64" s="184"/>
      <c r="E64" s="184" t="s">
        <v>589</v>
      </c>
      <c r="F64" s="184"/>
      <c r="G64" s="184" t="s">
        <v>589</v>
      </c>
      <c r="H64" s="184"/>
    </row>
    <row r="65" spans="1:8" x14ac:dyDescent="0.25">
      <c r="A65" s="271"/>
      <c r="B65" s="71" t="s">
        <v>253</v>
      </c>
      <c r="C65" s="184">
        <v>1</v>
      </c>
      <c r="D65" s="184"/>
      <c r="E65" s="184">
        <v>90</v>
      </c>
      <c r="F65" s="184"/>
      <c r="G65" s="184">
        <v>652</v>
      </c>
      <c r="H65" s="184"/>
    </row>
    <row r="66" spans="1:8" x14ac:dyDescent="0.25">
      <c r="A66" s="271"/>
      <c r="B66" s="71" t="s">
        <v>254</v>
      </c>
      <c r="C66" s="184">
        <v>0</v>
      </c>
      <c r="D66" s="184"/>
      <c r="E66" s="184">
        <v>0</v>
      </c>
      <c r="F66" s="184"/>
      <c r="G66" s="184">
        <v>0</v>
      </c>
      <c r="H66" s="184"/>
    </row>
    <row r="67" spans="1:8" x14ac:dyDescent="0.25">
      <c r="A67" s="271"/>
      <c r="B67" s="71" t="s">
        <v>255</v>
      </c>
      <c r="C67" s="184">
        <v>5</v>
      </c>
      <c r="D67" s="184"/>
      <c r="E67" s="184">
        <v>65</v>
      </c>
      <c r="F67" s="184"/>
      <c r="G67" s="184">
        <v>1</v>
      </c>
      <c r="H67" s="184"/>
    </row>
    <row r="68" spans="1:8" x14ac:dyDescent="0.25">
      <c r="A68" s="271"/>
      <c r="B68" s="71" t="s">
        <v>256</v>
      </c>
      <c r="C68" s="184">
        <v>0</v>
      </c>
      <c r="D68" s="184"/>
      <c r="E68" s="184">
        <v>0</v>
      </c>
      <c r="F68" s="184"/>
      <c r="G68" s="184">
        <v>0</v>
      </c>
      <c r="H68" s="184"/>
    </row>
    <row r="69" spans="1:8" x14ac:dyDescent="0.25">
      <c r="A69" s="271"/>
      <c r="B69" s="71" t="s">
        <v>257</v>
      </c>
      <c r="C69" s="184">
        <v>2</v>
      </c>
      <c r="D69" s="184"/>
      <c r="E69" s="184">
        <v>6</v>
      </c>
      <c r="F69" s="184"/>
      <c r="G69" s="184">
        <v>6</v>
      </c>
      <c r="H69" s="184"/>
    </row>
    <row r="70" spans="1:8" x14ac:dyDescent="0.25">
      <c r="A70" s="271"/>
      <c r="B70" s="71" t="s">
        <v>258</v>
      </c>
      <c r="C70" s="184">
        <v>2</v>
      </c>
      <c r="D70" s="184"/>
      <c r="E70" s="184">
        <v>2</v>
      </c>
      <c r="F70" s="184"/>
      <c r="G70" s="184">
        <v>2</v>
      </c>
      <c r="H70" s="184"/>
    </row>
    <row r="71" spans="1:8" x14ac:dyDescent="0.25">
      <c r="A71" s="271"/>
      <c r="B71" s="71" t="s">
        <v>259</v>
      </c>
      <c r="C71" s="184">
        <v>2</v>
      </c>
      <c r="D71" s="184"/>
      <c r="E71" s="184">
        <v>14</v>
      </c>
      <c r="F71" s="184"/>
      <c r="G71" s="184">
        <v>1</v>
      </c>
      <c r="H71" s="184"/>
    </row>
    <row r="72" spans="1:8" x14ac:dyDescent="0.25">
      <c r="A72" s="271"/>
      <c r="B72" s="71" t="s">
        <v>260</v>
      </c>
      <c r="C72" s="184">
        <v>0</v>
      </c>
      <c r="D72" s="184"/>
      <c r="E72" s="184">
        <v>0</v>
      </c>
      <c r="F72" s="184"/>
      <c r="G72" s="184">
        <v>0</v>
      </c>
      <c r="H72" s="184"/>
    </row>
    <row r="73" spans="1:8" x14ac:dyDescent="0.25">
      <c r="A73" s="271"/>
      <c r="B73" s="71" t="s">
        <v>261</v>
      </c>
      <c r="C73" s="184">
        <v>0</v>
      </c>
      <c r="D73" s="184"/>
      <c r="E73" s="184">
        <v>0</v>
      </c>
      <c r="F73" s="184"/>
      <c r="G73" s="184">
        <v>0</v>
      </c>
      <c r="H73" s="184"/>
    </row>
    <row r="74" spans="1:8" x14ac:dyDescent="0.25">
      <c r="A74" s="271"/>
      <c r="B74" s="71" t="s">
        <v>262</v>
      </c>
      <c r="C74" s="184">
        <v>4</v>
      </c>
      <c r="D74" s="184"/>
      <c r="E74" s="184">
        <v>92</v>
      </c>
      <c r="F74" s="184"/>
      <c r="G74" s="184">
        <v>250</v>
      </c>
      <c r="H74" s="184"/>
    </row>
    <row r="75" spans="1:8" x14ac:dyDescent="0.25">
      <c r="A75" s="271"/>
      <c r="B75" s="71" t="s">
        <v>263</v>
      </c>
      <c r="C75" s="184">
        <v>0</v>
      </c>
      <c r="D75" s="184"/>
      <c r="E75" s="184">
        <v>0</v>
      </c>
      <c r="F75" s="184"/>
      <c r="G75" s="184">
        <v>0</v>
      </c>
      <c r="H75" s="184"/>
    </row>
    <row r="76" spans="1:8" x14ac:dyDescent="0.25">
      <c r="A76" s="271"/>
      <c r="B76" s="71" t="s">
        <v>264</v>
      </c>
      <c r="C76" s="184">
        <v>3</v>
      </c>
      <c r="D76" s="184"/>
      <c r="E76" s="184">
        <v>6</v>
      </c>
      <c r="F76" s="184"/>
      <c r="G76" s="184">
        <v>6</v>
      </c>
      <c r="H76" s="184"/>
    </row>
    <row r="77" spans="1:8" x14ac:dyDescent="0.25">
      <c r="A77" s="271"/>
      <c r="B77" s="71" t="s">
        <v>265</v>
      </c>
      <c r="C77" s="184">
        <v>0</v>
      </c>
      <c r="D77" s="184"/>
      <c r="E77" s="184">
        <v>0</v>
      </c>
      <c r="F77" s="184"/>
      <c r="G77" s="184">
        <v>0</v>
      </c>
      <c r="H77" s="184"/>
    </row>
    <row r="78" spans="1:8" x14ac:dyDescent="0.25">
      <c r="A78" s="271"/>
      <c r="B78" s="71" t="s">
        <v>266</v>
      </c>
      <c r="C78" s="184">
        <v>1</v>
      </c>
      <c r="D78" s="184"/>
      <c r="E78" s="184">
        <v>1</v>
      </c>
      <c r="F78" s="184"/>
      <c r="G78" s="184">
        <v>1</v>
      </c>
      <c r="H78" s="184"/>
    </row>
    <row r="79" spans="1:8" x14ac:dyDescent="0.25">
      <c r="A79" s="271"/>
      <c r="B79" s="71" t="s">
        <v>267</v>
      </c>
      <c r="C79" s="184">
        <v>195</v>
      </c>
      <c r="D79" s="184"/>
      <c r="E79" s="184">
        <v>191</v>
      </c>
      <c r="F79" s="184"/>
      <c r="G79" s="184">
        <v>0</v>
      </c>
      <c r="H79" s="184"/>
    </row>
    <row r="80" spans="1:8" x14ac:dyDescent="0.25">
      <c r="A80" s="271"/>
      <c r="B80" s="71" t="s">
        <v>268</v>
      </c>
      <c r="C80" s="184">
        <v>0</v>
      </c>
      <c r="D80" s="184"/>
      <c r="E80" s="184">
        <v>0</v>
      </c>
      <c r="F80" s="184"/>
      <c r="G80" s="184">
        <v>0</v>
      </c>
      <c r="H80" s="184"/>
    </row>
    <row r="81" spans="1:8" x14ac:dyDescent="0.25">
      <c r="A81" s="271"/>
      <c r="B81" s="71" t="s">
        <v>269</v>
      </c>
      <c r="C81" s="184">
        <v>0</v>
      </c>
      <c r="D81" s="184"/>
      <c r="E81" s="184">
        <v>0</v>
      </c>
      <c r="F81" s="184"/>
      <c r="G81" s="184">
        <v>0</v>
      </c>
      <c r="H81" s="184"/>
    </row>
    <row r="82" spans="1:8" x14ac:dyDescent="0.25">
      <c r="A82" s="271"/>
      <c r="B82" s="71" t="s">
        <v>270</v>
      </c>
      <c r="C82" s="184">
        <v>0</v>
      </c>
      <c r="D82" s="184"/>
      <c r="E82" s="184">
        <v>0</v>
      </c>
      <c r="F82" s="184"/>
      <c r="G82" s="184">
        <v>0</v>
      </c>
      <c r="H82" s="184"/>
    </row>
    <row r="83" spans="1:8" x14ac:dyDescent="0.25">
      <c r="A83" s="271"/>
      <c r="B83" s="71" t="s">
        <v>271</v>
      </c>
      <c r="C83" s="184">
        <v>14</v>
      </c>
      <c r="D83" s="184"/>
      <c r="E83" s="184">
        <v>14</v>
      </c>
      <c r="F83" s="184"/>
      <c r="G83" s="184">
        <v>14</v>
      </c>
      <c r="H83" s="184"/>
    </row>
    <row r="84" spans="1:8" x14ac:dyDescent="0.25">
      <c r="A84" s="271"/>
      <c r="B84" s="71" t="s">
        <v>272</v>
      </c>
      <c r="C84" s="184">
        <v>2</v>
      </c>
      <c r="D84" s="184"/>
      <c r="E84" s="184">
        <v>3</v>
      </c>
      <c r="F84" s="184"/>
      <c r="G84" s="184">
        <v>0</v>
      </c>
      <c r="H84" s="184"/>
    </row>
    <row r="85" spans="1:8" x14ac:dyDescent="0.25">
      <c r="A85" s="271"/>
      <c r="B85" s="71" t="s">
        <v>273</v>
      </c>
      <c r="C85" s="184">
        <v>0</v>
      </c>
      <c r="D85" s="184"/>
      <c r="E85" s="184">
        <v>0</v>
      </c>
      <c r="F85" s="184"/>
      <c r="G85" s="184">
        <v>0</v>
      </c>
      <c r="H85" s="184"/>
    </row>
    <row r="86" spans="1:8" x14ac:dyDescent="0.25">
      <c r="A86" s="271"/>
      <c r="B86" s="71" t="s">
        <v>274</v>
      </c>
      <c r="C86" s="184">
        <v>0</v>
      </c>
      <c r="D86" s="184"/>
      <c r="E86" s="184">
        <v>0</v>
      </c>
      <c r="F86" s="184"/>
      <c r="G86" s="184">
        <v>0</v>
      </c>
      <c r="H86" s="184"/>
    </row>
    <row r="87" spans="1:8" x14ac:dyDescent="0.25">
      <c r="A87" s="271"/>
      <c r="B87" s="71" t="s">
        <v>275</v>
      </c>
      <c r="C87" s="184">
        <v>0</v>
      </c>
      <c r="D87" s="184"/>
      <c r="E87" s="184">
        <v>0</v>
      </c>
      <c r="F87" s="184"/>
      <c r="G87" s="184">
        <v>0</v>
      </c>
      <c r="H87" s="184"/>
    </row>
    <row r="88" spans="1:8" s="177" customFormat="1" x14ac:dyDescent="0.25">
      <c r="A88" s="179"/>
      <c r="B88" s="178" t="s">
        <v>586</v>
      </c>
      <c r="C88" s="184">
        <v>0</v>
      </c>
      <c r="D88" s="184"/>
      <c r="E88" s="184">
        <v>0</v>
      </c>
      <c r="F88" s="184"/>
      <c r="G88" s="184">
        <v>0</v>
      </c>
      <c r="H88" s="184"/>
    </row>
    <row r="89" spans="1:8" s="177" customFormat="1" x14ac:dyDescent="0.25">
      <c r="A89" s="179"/>
      <c r="B89" s="178" t="s">
        <v>587</v>
      </c>
      <c r="C89" s="184">
        <v>0</v>
      </c>
      <c r="D89" s="184"/>
      <c r="E89" s="184">
        <v>0</v>
      </c>
      <c r="F89" s="184"/>
      <c r="G89" s="184">
        <v>0</v>
      </c>
      <c r="H89" s="184"/>
    </row>
    <row r="90" spans="1:8" s="177" customFormat="1" x14ac:dyDescent="0.25">
      <c r="A90" s="179"/>
      <c r="B90" s="178" t="s">
        <v>588</v>
      </c>
      <c r="C90" s="184">
        <v>0</v>
      </c>
      <c r="D90" s="184"/>
      <c r="E90" s="184">
        <v>0</v>
      </c>
      <c r="F90" s="184"/>
      <c r="G90" s="184">
        <v>0</v>
      </c>
      <c r="H90" s="184"/>
    </row>
    <row r="91" spans="1:8" x14ac:dyDescent="0.25">
      <c r="A91" s="270" t="s">
        <v>117</v>
      </c>
      <c r="B91" s="70" t="s">
        <v>276</v>
      </c>
      <c r="C91" s="181">
        <v>979</v>
      </c>
      <c r="D91" s="181"/>
      <c r="E91" s="181">
        <v>15146</v>
      </c>
      <c r="F91" s="181"/>
      <c r="G91" s="181">
        <v>149554</v>
      </c>
      <c r="H91" s="181"/>
    </row>
    <row r="92" spans="1:8" x14ac:dyDescent="0.25">
      <c r="A92" s="271"/>
      <c r="B92" s="71" t="s">
        <v>251</v>
      </c>
      <c r="C92" s="184">
        <v>74</v>
      </c>
      <c r="D92" s="184"/>
      <c r="E92" s="184">
        <v>74</v>
      </c>
      <c r="F92" s="184"/>
      <c r="G92" s="184">
        <v>74</v>
      </c>
      <c r="H92" s="184"/>
    </row>
    <row r="93" spans="1:8" x14ac:dyDescent="0.25">
      <c r="A93" s="271"/>
      <c r="B93" s="71" t="s">
        <v>252</v>
      </c>
      <c r="C93" s="184">
        <v>10</v>
      </c>
      <c r="D93" s="184"/>
      <c r="E93" s="184" t="s">
        <v>589</v>
      </c>
      <c r="F93" s="184"/>
      <c r="G93" s="184" t="s">
        <v>589</v>
      </c>
      <c r="H93" s="184"/>
    </row>
    <row r="94" spans="1:8" x14ac:dyDescent="0.25">
      <c r="A94" s="271"/>
      <c r="B94" s="71" t="s">
        <v>253</v>
      </c>
      <c r="C94" s="184">
        <v>11</v>
      </c>
      <c r="D94" s="184"/>
      <c r="E94" s="184">
        <v>78</v>
      </c>
      <c r="F94" s="184"/>
      <c r="G94" s="184">
        <v>132099</v>
      </c>
      <c r="H94" s="184"/>
    </row>
    <row r="95" spans="1:8" x14ac:dyDescent="0.25">
      <c r="A95" s="271"/>
      <c r="B95" s="71" t="s">
        <v>254</v>
      </c>
      <c r="C95" s="184">
        <v>0</v>
      </c>
      <c r="D95" s="184"/>
      <c r="E95" s="184">
        <v>0</v>
      </c>
      <c r="F95" s="184"/>
      <c r="G95" s="184">
        <v>0</v>
      </c>
      <c r="H95" s="184"/>
    </row>
    <row r="96" spans="1:8" x14ac:dyDescent="0.25">
      <c r="A96" s="271"/>
      <c r="B96" s="71" t="s">
        <v>255</v>
      </c>
      <c r="C96" s="184">
        <v>2</v>
      </c>
      <c r="D96" s="184"/>
      <c r="E96" s="184">
        <v>49</v>
      </c>
      <c r="F96" s="184"/>
      <c r="G96" s="184">
        <v>0</v>
      </c>
      <c r="H96" s="184"/>
    </row>
    <row r="97" spans="1:8" x14ac:dyDescent="0.25">
      <c r="A97" s="271"/>
      <c r="B97" s="71" t="s">
        <v>256</v>
      </c>
      <c r="C97" s="184">
        <v>0</v>
      </c>
      <c r="D97" s="184"/>
      <c r="E97" s="184">
        <v>0</v>
      </c>
      <c r="F97" s="184"/>
      <c r="G97" s="184">
        <v>0</v>
      </c>
      <c r="H97" s="184"/>
    </row>
    <row r="98" spans="1:8" x14ac:dyDescent="0.25">
      <c r="A98" s="271"/>
      <c r="B98" s="71" t="s">
        <v>257</v>
      </c>
      <c r="C98" s="184">
        <v>18</v>
      </c>
      <c r="D98" s="184"/>
      <c r="E98" s="184">
        <v>718</v>
      </c>
      <c r="F98" s="184"/>
      <c r="G98" s="184">
        <v>3</v>
      </c>
      <c r="H98" s="184"/>
    </row>
    <row r="99" spans="1:8" x14ac:dyDescent="0.25">
      <c r="A99" s="271"/>
      <c r="B99" s="71" t="s">
        <v>258</v>
      </c>
      <c r="C99" s="184">
        <v>4</v>
      </c>
      <c r="D99" s="184"/>
      <c r="E99" s="184">
        <v>205</v>
      </c>
      <c r="F99" s="184"/>
      <c r="G99" s="184">
        <v>61</v>
      </c>
      <c r="H99" s="184"/>
    </row>
    <row r="100" spans="1:8" x14ac:dyDescent="0.25">
      <c r="A100" s="271"/>
      <c r="B100" s="71" t="s">
        <v>259</v>
      </c>
      <c r="C100" s="184">
        <v>2</v>
      </c>
      <c r="D100" s="184"/>
      <c r="E100" s="184">
        <v>2</v>
      </c>
      <c r="F100" s="184"/>
      <c r="G100" s="184">
        <v>2</v>
      </c>
      <c r="H100" s="184"/>
    </row>
    <row r="101" spans="1:8" x14ac:dyDescent="0.25">
      <c r="A101" s="271"/>
      <c r="B101" s="71" t="s">
        <v>260</v>
      </c>
      <c r="C101" s="184">
        <v>0</v>
      </c>
      <c r="D101" s="184"/>
      <c r="E101" s="184">
        <v>0</v>
      </c>
      <c r="F101" s="184"/>
      <c r="G101" s="184">
        <v>0</v>
      </c>
      <c r="H101" s="184"/>
    </row>
    <row r="102" spans="1:8" x14ac:dyDescent="0.25">
      <c r="A102" s="271"/>
      <c r="B102" s="71" t="s">
        <v>261</v>
      </c>
      <c r="C102" s="184">
        <v>0</v>
      </c>
      <c r="D102" s="184"/>
      <c r="E102" s="184">
        <v>0</v>
      </c>
      <c r="F102" s="184"/>
      <c r="G102" s="184">
        <v>0</v>
      </c>
      <c r="H102" s="184"/>
    </row>
    <row r="103" spans="1:8" x14ac:dyDescent="0.25">
      <c r="A103" s="271"/>
      <c r="B103" s="71" t="s">
        <v>262</v>
      </c>
      <c r="C103" s="184">
        <v>66</v>
      </c>
      <c r="D103" s="184"/>
      <c r="E103" s="184">
        <v>119</v>
      </c>
      <c r="F103" s="184"/>
      <c r="G103" s="184">
        <v>7818</v>
      </c>
      <c r="H103" s="184"/>
    </row>
    <row r="104" spans="1:8" x14ac:dyDescent="0.25">
      <c r="A104" s="271"/>
      <c r="B104" s="71" t="s">
        <v>263</v>
      </c>
      <c r="C104" s="184">
        <v>22</v>
      </c>
      <c r="D104" s="184"/>
      <c r="E104" s="184">
        <v>78</v>
      </c>
      <c r="F104" s="184"/>
      <c r="G104" s="184">
        <v>88</v>
      </c>
      <c r="H104" s="184"/>
    </row>
    <row r="105" spans="1:8" x14ac:dyDescent="0.25">
      <c r="A105" s="271"/>
      <c r="B105" s="71" t="s">
        <v>264</v>
      </c>
      <c r="C105" s="184">
        <v>1</v>
      </c>
      <c r="D105" s="184"/>
      <c r="E105" s="184">
        <v>1</v>
      </c>
      <c r="F105" s="184"/>
      <c r="G105" s="184">
        <v>1</v>
      </c>
      <c r="H105" s="184"/>
    </row>
    <row r="106" spans="1:8" x14ac:dyDescent="0.25">
      <c r="A106" s="271"/>
      <c r="B106" s="71" t="s">
        <v>265</v>
      </c>
      <c r="C106" s="184">
        <v>1</v>
      </c>
      <c r="D106" s="184"/>
      <c r="E106" s="184">
        <v>1</v>
      </c>
      <c r="F106" s="184"/>
      <c r="G106" s="184">
        <v>1</v>
      </c>
      <c r="H106" s="184"/>
    </row>
    <row r="107" spans="1:8" x14ac:dyDescent="0.25">
      <c r="A107" s="271"/>
      <c r="B107" s="71" t="s">
        <v>266</v>
      </c>
      <c r="C107" s="184">
        <v>1</v>
      </c>
      <c r="D107" s="184"/>
      <c r="E107" s="184">
        <v>1</v>
      </c>
      <c r="F107" s="184"/>
      <c r="G107" s="184">
        <v>1</v>
      </c>
      <c r="H107" s="184"/>
    </row>
    <row r="108" spans="1:8" x14ac:dyDescent="0.25">
      <c r="A108" s="271"/>
      <c r="B108" s="71" t="s">
        <v>267</v>
      </c>
      <c r="C108" s="184">
        <v>740</v>
      </c>
      <c r="D108" s="184"/>
      <c r="E108" s="184">
        <v>4474</v>
      </c>
      <c r="F108" s="184"/>
      <c r="G108" s="184">
        <v>0</v>
      </c>
      <c r="H108" s="184"/>
    </row>
    <row r="109" spans="1:8" x14ac:dyDescent="0.25">
      <c r="A109" s="271"/>
      <c r="B109" s="71" t="s">
        <v>268</v>
      </c>
      <c r="C109" s="184">
        <v>0</v>
      </c>
      <c r="D109" s="184"/>
      <c r="E109" s="184">
        <v>0</v>
      </c>
      <c r="F109" s="184"/>
      <c r="G109" s="184">
        <v>0</v>
      </c>
      <c r="H109" s="184"/>
    </row>
    <row r="110" spans="1:8" x14ac:dyDescent="0.25">
      <c r="A110" s="271"/>
      <c r="B110" s="71" t="s">
        <v>269</v>
      </c>
      <c r="C110" s="184">
        <v>0</v>
      </c>
      <c r="D110" s="184"/>
      <c r="E110" s="184">
        <v>0</v>
      </c>
      <c r="F110" s="184"/>
      <c r="G110" s="184">
        <v>0</v>
      </c>
      <c r="H110" s="184"/>
    </row>
    <row r="111" spans="1:8" x14ac:dyDescent="0.25">
      <c r="A111" s="271"/>
      <c r="B111" s="71" t="s">
        <v>270</v>
      </c>
      <c r="C111" s="184">
        <v>5</v>
      </c>
      <c r="D111" s="184"/>
      <c r="E111" s="184">
        <v>9320</v>
      </c>
      <c r="F111" s="184"/>
      <c r="G111" s="184">
        <v>9385</v>
      </c>
      <c r="H111" s="184"/>
    </row>
    <row r="112" spans="1:8" x14ac:dyDescent="0.25">
      <c r="A112" s="271"/>
      <c r="B112" s="71" t="s">
        <v>271</v>
      </c>
      <c r="C112" s="184">
        <v>18</v>
      </c>
      <c r="D112" s="184"/>
      <c r="E112" s="184">
        <v>20</v>
      </c>
      <c r="F112" s="184"/>
      <c r="G112" s="184">
        <v>20</v>
      </c>
      <c r="H112" s="184"/>
    </row>
    <row r="113" spans="1:8" x14ac:dyDescent="0.25">
      <c r="A113" s="271"/>
      <c r="B113" s="71" t="s">
        <v>272</v>
      </c>
      <c r="C113" s="184">
        <v>2</v>
      </c>
      <c r="D113" s="184"/>
      <c r="E113" s="184">
        <v>4</v>
      </c>
      <c r="F113" s="184"/>
      <c r="G113" s="184">
        <v>0</v>
      </c>
      <c r="H113" s="184"/>
    </row>
    <row r="114" spans="1:8" x14ac:dyDescent="0.25">
      <c r="A114" s="271"/>
      <c r="B114" s="71" t="s">
        <v>273</v>
      </c>
      <c r="C114" s="184">
        <v>2</v>
      </c>
      <c r="D114" s="184"/>
      <c r="E114" s="184">
        <v>2</v>
      </c>
      <c r="F114" s="184"/>
      <c r="G114" s="184">
        <v>1</v>
      </c>
      <c r="H114" s="184"/>
    </row>
    <row r="115" spans="1:8" x14ac:dyDescent="0.25">
      <c r="A115" s="271"/>
      <c r="B115" s="71" t="s">
        <v>274</v>
      </c>
      <c r="C115" s="184">
        <v>0</v>
      </c>
      <c r="D115" s="184"/>
      <c r="E115" s="184">
        <v>0</v>
      </c>
      <c r="F115" s="184"/>
      <c r="G115" s="184">
        <v>0</v>
      </c>
      <c r="H115" s="184"/>
    </row>
    <row r="116" spans="1:8" x14ac:dyDescent="0.25">
      <c r="A116" s="271"/>
      <c r="B116" s="71" t="s">
        <v>275</v>
      </c>
      <c r="C116" s="184">
        <v>0</v>
      </c>
      <c r="D116" s="184"/>
      <c r="E116" s="184">
        <v>0</v>
      </c>
      <c r="F116" s="184"/>
      <c r="G116" s="184">
        <v>0</v>
      </c>
      <c r="H116" s="184"/>
    </row>
    <row r="117" spans="1:8" s="177" customFormat="1" x14ac:dyDescent="0.25">
      <c r="A117" s="179"/>
      <c r="B117" s="178" t="s">
        <v>586</v>
      </c>
      <c r="C117" s="184">
        <v>0</v>
      </c>
      <c r="D117" s="184"/>
      <c r="E117" s="184">
        <v>0</v>
      </c>
      <c r="F117" s="184"/>
      <c r="G117" s="184">
        <v>0</v>
      </c>
      <c r="H117" s="184"/>
    </row>
    <row r="118" spans="1:8" s="177" customFormat="1" x14ac:dyDescent="0.25">
      <c r="A118" s="179"/>
      <c r="B118" s="178" t="s">
        <v>587</v>
      </c>
      <c r="C118" s="184">
        <v>0</v>
      </c>
      <c r="D118" s="184"/>
      <c r="E118" s="184">
        <v>0</v>
      </c>
      <c r="F118" s="184"/>
      <c r="G118" s="184">
        <v>0</v>
      </c>
      <c r="H118" s="184"/>
    </row>
    <row r="119" spans="1:8" s="177" customFormat="1" x14ac:dyDescent="0.25">
      <c r="A119" s="179"/>
      <c r="B119" s="178" t="s">
        <v>588</v>
      </c>
      <c r="C119" s="184">
        <v>0</v>
      </c>
      <c r="D119" s="184"/>
      <c r="E119" s="184">
        <v>0</v>
      </c>
      <c r="F119" s="184"/>
      <c r="G119" s="184">
        <v>0</v>
      </c>
      <c r="H119" s="184"/>
    </row>
    <row r="120" spans="1:8" x14ac:dyDescent="0.25">
      <c r="A120" s="270" t="s">
        <v>118</v>
      </c>
      <c r="B120" s="70" t="s">
        <v>276</v>
      </c>
      <c r="C120" s="181">
        <v>1640</v>
      </c>
      <c r="D120" s="181"/>
      <c r="E120" s="181">
        <v>2962</v>
      </c>
      <c r="F120" s="181"/>
      <c r="G120" s="181">
        <v>36389</v>
      </c>
      <c r="H120" s="181"/>
    </row>
    <row r="121" spans="1:8" x14ac:dyDescent="0.25">
      <c r="A121" s="271"/>
      <c r="B121" s="71" t="s">
        <v>251</v>
      </c>
      <c r="C121" s="184">
        <v>12</v>
      </c>
      <c r="D121" s="184"/>
      <c r="E121" s="184">
        <v>12</v>
      </c>
      <c r="F121" s="184"/>
      <c r="G121" s="184">
        <v>12</v>
      </c>
      <c r="H121" s="184"/>
    </row>
    <row r="122" spans="1:8" x14ac:dyDescent="0.25">
      <c r="A122" s="271"/>
      <c r="B122" s="71" t="s">
        <v>252</v>
      </c>
      <c r="C122" s="184">
        <v>3</v>
      </c>
      <c r="D122" s="184"/>
      <c r="E122" s="184">
        <v>3</v>
      </c>
      <c r="F122" s="184"/>
      <c r="G122" s="184">
        <v>3</v>
      </c>
      <c r="H122" s="184"/>
    </row>
    <row r="123" spans="1:8" x14ac:dyDescent="0.25">
      <c r="A123" s="271"/>
      <c r="B123" s="71" t="s">
        <v>253</v>
      </c>
      <c r="C123" s="184">
        <v>6</v>
      </c>
      <c r="D123" s="184"/>
      <c r="E123" s="184">
        <v>131</v>
      </c>
      <c r="F123" s="184"/>
      <c r="G123" s="184">
        <v>14258</v>
      </c>
      <c r="H123" s="184"/>
    </row>
    <row r="124" spans="1:8" x14ac:dyDescent="0.25">
      <c r="A124" s="271"/>
      <c r="B124" s="71" t="s">
        <v>254</v>
      </c>
      <c r="C124" s="184">
        <v>0</v>
      </c>
      <c r="D124" s="184"/>
      <c r="E124" s="184">
        <v>0</v>
      </c>
      <c r="F124" s="184"/>
      <c r="G124" s="184">
        <v>0</v>
      </c>
      <c r="H124" s="184"/>
    </row>
    <row r="125" spans="1:8" x14ac:dyDescent="0.25">
      <c r="A125" s="271"/>
      <c r="B125" s="71" t="s">
        <v>255</v>
      </c>
      <c r="C125" s="184">
        <v>5</v>
      </c>
      <c r="D125" s="184"/>
      <c r="E125" s="184">
        <v>43</v>
      </c>
      <c r="F125" s="184"/>
      <c r="G125" s="184">
        <v>39</v>
      </c>
      <c r="H125" s="184"/>
    </row>
    <row r="126" spans="1:8" x14ac:dyDescent="0.25">
      <c r="A126" s="271"/>
      <c r="B126" s="71" t="s">
        <v>256</v>
      </c>
      <c r="C126" s="184">
        <v>0</v>
      </c>
      <c r="D126" s="184"/>
      <c r="E126" s="184">
        <v>0</v>
      </c>
      <c r="F126" s="184"/>
      <c r="G126" s="184">
        <v>0</v>
      </c>
      <c r="H126" s="184"/>
    </row>
    <row r="127" spans="1:8" x14ac:dyDescent="0.25">
      <c r="A127" s="271"/>
      <c r="B127" s="71" t="s">
        <v>257</v>
      </c>
      <c r="C127" s="184">
        <v>54</v>
      </c>
      <c r="D127" s="184"/>
      <c r="E127" s="184">
        <v>1403</v>
      </c>
      <c r="F127" s="184"/>
      <c r="G127" s="184">
        <v>7</v>
      </c>
      <c r="H127" s="184"/>
    </row>
    <row r="128" spans="1:8" x14ac:dyDescent="0.25">
      <c r="A128" s="271"/>
      <c r="B128" s="71" t="s">
        <v>258</v>
      </c>
      <c r="C128" s="184">
        <v>7</v>
      </c>
      <c r="D128" s="184"/>
      <c r="E128" s="184">
        <v>256</v>
      </c>
      <c r="F128" s="184"/>
      <c r="G128" s="184">
        <v>6</v>
      </c>
      <c r="H128" s="184"/>
    </row>
    <row r="129" spans="1:8" x14ac:dyDescent="0.25">
      <c r="A129" s="271"/>
      <c r="B129" s="71" t="s">
        <v>259</v>
      </c>
      <c r="C129" s="184">
        <v>1</v>
      </c>
      <c r="D129" s="184"/>
      <c r="E129" s="184">
        <v>1</v>
      </c>
      <c r="F129" s="184"/>
      <c r="G129" s="184">
        <v>10</v>
      </c>
      <c r="H129" s="184"/>
    </row>
    <row r="130" spans="1:8" x14ac:dyDescent="0.25">
      <c r="A130" s="271"/>
      <c r="B130" s="71" t="s">
        <v>260</v>
      </c>
      <c r="C130" s="184">
        <v>4</v>
      </c>
      <c r="D130" s="184"/>
      <c r="E130" s="184">
        <v>4</v>
      </c>
      <c r="F130" s="184"/>
      <c r="G130" s="184">
        <v>4</v>
      </c>
      <c r="H130" s="184"/>
    </row>
    <row r="131" spans="1:8" x14ac:dyDescent="0.25">
      <c r="A131" s="271"/>
      <c r="B131" s="71" t="s">
        <v>261</v>
      </c>
      <c r="C131" s="184">
        <v>0</v>
      </c>
      <c r="D131" s="184"/>
      <c r="E131" s="184">
        <v>0</v>
      </c>
      <c r="F131" s="184"/>
      <c r="G131" s="184">
        <v>0</v>
      </c>
      <c r="H131" s="184"/>
    </row>
    <row r="132" spans="1:8" x14ac:dyDescent="0.25">
      <c r="A132" s="271"/>
      <c r="B132" s="71" t="s">
        <v>262</v>
      </c>
      <c r="C132" s="184">
        <v>13</v>
      </c>
      <c r="D132" s="184"/>
      <c r="E132" s="184">
        <v>110</v>
      </c>
      <c r="F132" s="184"/>
      <c r="G132" s="184">
        <v>22006</v>
      </c>
      <c r="H132" s="184"/>
    </row>
    <row r="133" spans="1:8" x14ac:dyDescent="0.25">
      <c r="A133" s="271"/>
      <c r="B133" s="71" t="s">
        <v>263</v>
      </c>
      <c r="C133" s="184">
        <v>8</v>
      </c>
      <c r="D133" s="184"/>
      <c r="E133" s="184">
        <v>22</v>
      </c>
      <c r="F133" s="184"/>
      <c r="G133" s="184">
        <v>34</v>
      </c>
      <c r="H133" s="184"/>
    </row>
    <row r="134" spans="1:8" x14ac:dyDescent="0.25">
      <c r="A134" s="271"/>
      <c r="B134" s="71" t="s">
        <v>264</v>
      </c>
      <c r="C134" s="184">
        <v>0</v>
      </c>
      <c r="D134" s="184"/>
      <c r="E134" s="184">
        <v>0</v>
      </c>
      <c r="F134" s="184"/>
      <c r="G134" s="184">
        <v>0</v>
      </c>
      <c r="H134" s="184"/>
    </row>
    <row r="135" spans="1:8" x14ac:dyDescent="0.25">
      <c r="A135" s="271"/>
      <c r="B135" s="71" t="s">
        <v>265</v>
      </c>
      <c r="C135" s="184">
        <v>4</v>
      </c>
      <c r="D135" s="184"/>
      <c r="E135" s="184">
        <v>12</v>
      </c>
      <c r="F135" s="184"/>
      <c r="G135" s="184">
        <v>0</v>
      </c>
      <c r="H135" s="184"/>
    </row>
    <row r="136" spans="1:8" x14ac:dyDescent="0.25">
      <c r="A136" s="271"/>
      <c r="B136" s="71" t="s">
        <v>266</v>
      </c>
      <c r="C136" s="184">
        <v>0</v>
      </c>
      <c r="D136" s="184"/>
      <c r="E136" s="184">
        <v>0</v>
      </c>
      <c r="F136" s="184"/>
      <c r="G136" s="184">
        <v>0</v>
      </c>
      <c r="H136" s="184"/>
    </row>
    <row r="137" spans="1:8" x14ac:dyDescent="0.25">
      <c r="A137" s="271"/>
      <c r="B137" s="71" t="s">
        <v>267</v>
      </c>
      <c r="C137" s="184">
        <v>1521</v>
      </c>
      <c r="D137" s="184"/>
      <c r="E137" s="184">
        <v>907</v>
      </c>
      <c r="F137" s="184"/>
      <c r="G137" s="184">
        <v>2</v>
      </c>
      <c r="H137" s="184"/>
    </row>
    <row r="138" spans="1:8" x14ac:dyDescent="0.25">
      <c r="A138" s="271"/>
      <c r="B138" s="71" t="s">
        <v>268</v>
      </c>
      <c r="C138" s="184">
        <v>0</v>
      </c>
      <c r="D138" s="184"/>
      <c r="E138" s="184">
        <v>0</v>
      </c>
      <c r="F138" s="184"/>
      <c r="G138" s="184">
        <v>0</v>
      </c>
      <c r="H138" s="184"/>
    </row>
    <row r="139" spans="1:8" x14ac:dyDescent="0.25">
      <c r="A139" s="271"/>
      <c r="B139" s="71" t="s">
        <v>269</v>
      </c>
      <c r="C139" s="184">
        <v>0</v>
      </c>
      <c r="D139" s="184"/>
      <c r="E139" s="184">
        <v>0</v>
      </c>
      <c r="F139" s="184"/>
      <c r="G139" s="184">
        <v>0</v>
      </c>
      <c r="H139" s="184"/>
    </row>
    <row r="140" spans="1:8" x14ac:dyDescent="0.25">
      <c r="A140" s="271"/>
      <c r="B140" s="71" t="s">
        <v>270</v>
      </c>
      <c r="C140" s="184">
        <v>1</v>
      </c>
      <c r="D140" s="184"/>
      <c r="E140" s="184">
        <v>8</v>
      </c>
      <c r="F140" s="184"/>
      <c r="G140" s="184">
        <v>8</v>
      </c>
      <c r="H140" s="184"/>
    </row>
    <row r="141" spans="1:8" x14ac:dyDescent="0.25">
      <c r="A141" s="271"/>
      <c r="B141" s="71" t="s">
        <v>271</v>
      </c>
      <c r="C141" s="184">
        <v>0</v>
      </c>
      <c r="D141" s="184"/>
      <c r="E141" s="184">
        <v>0</v>
      </c>
      <c r="F141" s="184"/>
      <c r="G141" s="184">
        <v>0</v>
      </c>
      <c r="H141" s="184"/>
    </row>
    <row r="142" spans="1:8" x14ac:dyDescent="0.25">
      <c r="A142" s="271"/>
      <c r="B142" s="71" t="s">
        <v>272</v>
      </c>
      <c r="C142" s="184">
        <v>0</v>
      </c>
      <c r="D142" s="184"/>
      <c r="E142" s="184">
        <v>0</v>
      </c>
      <c r="F142" s="184"/>
      <c r="G142" s="184">
        <v>0</v>
      </c>
      <c r="H142" s="184"/>
    </row>
    <row r="143" spans="1:8" x14ac:dyDescent="0.25">
      <c r="A143" s="271"/>
      <c r="B143" s="71" t="s">
        <v>273</v>
      </c>
      <c r="C143" s="184">
        <v>1</v>
      </c>
      <c r="D143" s="184"/>
      <c r="E143" s="184">
        <v>50</v>
      </c>
      <c r="F143" s="184"/>
      <c r="G143" s="184">
        <v>0</v>
      </c>
      <c r="H143" s="184"/>
    </row>
    <row r="144" spans="1:8" x14ac:dyDescent="0.25">
      <c r="A144" s="271"/>
      <c r="B144" s="71" t="s">
        <v>274</v>
      </c>
      <c r="C144" s="184">
        <v>0</v>
      </c>
      <c r="D144" s="184"/>
      <c r="E144" s="184">
        <v>0</v>
      </c>
      <c r="F144" s="184"/>
      <c r="G144" s="184">
        <v>0</v>
      </c>
      <c r="H144" s="184"/>
    </row>
    <row r="145" spans="1:8" x14ac:dyDescent="0.25">
      <c r="A145" s="271"/>
      <c r="B145" s="71" t="s">
        <v>275</v>
      </c>
      <c r="C145" s="184">
        <v>0</v>
      </c>
      <c r="D145" s="184"/>
      <c r="E145" s="184">
        <v>0</v>
      </c>
      <c r="F145" s="184"/>
      <c r="G145" s="184">
        <v>0</v>
      </c>
      <c r="H145" s="184"/>
    </row>
    <row r="146" spans="1:8" s="177" customFormat="1" x14ac:dyDescent="0.25">
      <c r="A146" s="179"/>
      <c r="B146" s="178" t="s">
        <v>586</v>
      </c>
      <c r="C146" s="184">
        <v>0</v>
      </c>
      <c r="D146" s="184"/>
      <c r="E146" s="184">
        <v>0</v>
      </c>
      <c r="F146" s="184"/>
      <c r="G146" s="184">
        <v>0</v>
      </c>
      <c r="H146" s="184"/>
    </row>
    <row r="147" spans="1:8" s="177" customFormat="1" x14ac:dyDescent="0.25">
      <c r="A147" s="179"/>
      <c r="B147" s="178" t="s">
        <v>587</v>
      </c>
      <c r="C147" s="184">
        <v>0</v>
      </c>
      <c r="D147" s="184"/>
      <c r="E147" s="184">
        <v>0</v>
      </c>
      <c r="F147" s="184"/>
      <c r="G147" s="184">
        <v>0</v>
      </c>
      <c r="H147" s="184"/>
    </row>
    <row r="148" spans="1:8" s="177" customFormat="1" x14ac:dyDescent="0.25">
      <c r="A148" s="179"/>
      <c r="B148" s="178" t="s">
        <v>588</v>
      </c>
      <c r="C148" s="184">
        <v>0</v>
      </c>
      <c r="D148" s="184"/>
      <c r="E148" s="184">
        <v>0</v>
      </c>
      <c r="F148" s="184"/>
      <c r="G148" s="184">
        <v>0</v>
      </c>
      <c r="H148" s="184"/>
    </row>
    <row r="149" spans="1:8" x14ac:dyDescent="0.25">
      <c r="A149" s="270" t="s">
        <v>119</v>
      </c>
      <c r="B149" s="70" t="s">
        <v>276</v>
      </c>
      <c r="C149" s="181">
        <v>395</v>
      </c>
      <c r="D149" s="181"/>
      <c r="E149" s="181">
        <v>3009</v>
      </c>
      <c r="F149" s="181"/>
      <c r="G149" s="181">
        <v>189762</v>
      </c>
      <c r="H149" s="181"/>
    </row>
    <row r="150" spans="1:8" x14ac:dyDescent="0.25">
      <c r="A150" s="271"/>
      <c r="B150" s="71" t="s">
        <v>251</v>
      </c>
      <c r="C150" s="184">
        <v>1</v>
      </c>
      <c r="D150" s="184"/>
      <c r="E150" s="184">
        <v>1</v>
      </c>
      <c r="F150" s="184"/>
      <c r="G150" s="184">
        <v>1</v>
      </c>
      <c r="H150" s="184"/>
    </row>
    <row r="151" spans="1:8" x14ac:dyDescent="0.25">
      <c r="A151" s="271"/>
      <c r="B151" s="71" t="s">
        <v>252</v>
      </c>
      <c r="C151" s="184">
        <v>2</v>
      </c>
      <c r="D151" s="184"/>
      <c r="E151" s="184">
        <v>2</v>
      </c>
      <c r="F151" s="184"/>
      <c r="G151" s="184">
        <v>2</v>
      </c>
      <c r="H151" s="184"/>
    </row>
    <row r="152" spans="1:8" x14ac:dyDescent="0.25">
      <c r="A152" s="271"/>
      <c r="B152" s="71" t="s">
        <v>253</v>
      </c>
      <c r="C152" s="184">
        <v>5</v>
      </c>
      <c r="D152" s="184"/>
      <c r="E152" s="184">
        <v>63</v>
      </c>
      <c r="F152" s="184"/>
      <c r="G152" s="184">
        <v>186615</v>
      </c>
      <c r="H152" s="184"/>
    </row>
    <row r="153" spans="1:8" x14ac:dyDescent="0.25">
      <c r="A153" s="271"/>
      <c r="B153" s="71" t="s">
        <v>254</v>
      </c>
      <c r="C153" s="184">
        <v>0</v>
      </c>
      <c r="D153" s="184"/>
      <c r="E153" s="184">
        <v>0</v>
      </c>
      <c r="F153" s="184"/>
      <c r="G153" s="184">
        <v>0</v>
      </c>
      <c r="H153" s="184"/>
    </row>
    <row r="154" spans="1:8" x14ac:dyDescent="0.25">
      <c r="A154" s="271"/>
      <c r="B154" s="71" t="s">
        <v>255</v>
      </c>
      <c r="C154" s="184">
        <v>2</v>
      </c>
      <c r="D154" s="184"/>
      <c r="E154" s="184">
        <v>4</v>
      </c>
      <c r="F154" s="184"/>
      <c r="G154" s="184">
        <v>0</v>
      </c>
      <c r="H154" s="184"/>
    </row>
    <row r="155" spans="1:8" x14ac:dyDescent="0.25">
      <c r="A155" s="271"/>
      <c r="B155" s="71" t="s">
        <v>256</v>
      </c>
      <c r="C155" s="184">
        <v>1</v>
      </c>
      <c r="D155" s="184"/>
      <c r="E155" s="184">
        <v>7</v>
      </c>
      <c r="F155" s="184"/>
      <c r="G155" s="184">
        <v>1</v>
      </c>
      <c r="H155" s="184"/>
    </row>
    <row r="156" spans="1:8" x14ac:dyDescent="0.25">
      <c r="A156" s="271"/>
      <c r="B156" s="71" t="s">
        <v>257</v>
      </c>
      <c r="C156" s="184">
        <v>131</v>
      </c>
      <c r="D156" s="184"/>
      <c r="E156" s="184">
        <v>2639</v>
      </c>
      <c r="F156" s="184"/>
      <c r="G156" s="184">
        <v>0</v>
      </c>
      <c r="H156" s="184"/>
    </row>
    <row r="157" spans="1:8" x14ac:dyDescent="0.25">
      <c r="A157" s="271"/>
      <c r="B157" s="71" t="s">
        <v>258</v>
      </c>
      <c r="C157" s="184">
        <v>9</v>
      </c>
      <c r="D157" s="184"/>
      <c r="E157" s="184">
        <v>185</v>
      </c>
      <c r="F157" s="184"/>
      <c r="G157" s="184">
        <v>3</v>
      </c>
      <c r="H157" s="184"/>
    </row>
    <row r="158" spans="1:8" x14ac:dyDescent="0.25">
      <c r="A158" s="271"/>
      <c r="B158" s="71" t="s">
        <v>259</v>
      </c>
      <c r="C158" s="184">
        <v>3</v>
      </c>
      <c r="D158" s="184"/>
      <c r="E158" s="184">
        <v>3</v>
      </c>
      <c r="F158" s="184"/>
      <c r="G158" s="184">
        <v>3</v>
      </c>
      <c r="H158" s="184"/>
    </row>
    <row r="159" spans="1:8" x14ac:dyDescent="0.25">
      <c r="A159" s="271"/>
      <c r="B159" s="71" t="s">
        <v>260</v>
      </c>
      <c r="C159" s="184">
        <v>3</v>
      </c>
      <c r="D159" s="184"/>
      <c r="E159" s="184">
        <v>4</v>
      </c>
      <c r="F159" s="184"/>
      <c r="G159" s="184">
        <v>4</v>
      </c>
      <c r="H159" s="184"/>
    </row>
    <row r="160" spans="1:8" x14ac:dyDescent="0.25">
      <c r="A160" s="271"/>
      <c r="B160" s="71" t="s">
        <v>261</v>
      </c>
      <c r="C160" s="184">
        <v>0</v>
      </c>
      <c r="D160" s="184"/>
      <c r="E160" s="184">
        <v>0</v>
      </c>
      <c r="F160" s="184"/>
      <c r="G160" s="184">
        <v>0</v>
      </c>
      <c r="H160" s="184"/>
    </row>
    <row r="161" spans="1:8" x14ac:dyDescent="0.25">
      <c r="A161" s="271"/>
      <c r="B161" s="71" t="s">
        <v>262</v>
      </c>
      <c r="C161" s="184">
        <v>2</v>
      </c>
      <c r="D161" s="184"/>
      <c r="E161" s="184">
        <v>15</v>
      </c>
      <c r="F161" s="184"/>
      <c r="G161" s="184">
        <v>3119</v>
      </c>
      <c r="H161" s="184"/>
    </row>
    <row r="162" spans="1:8" x14ac:dyDescent="0.25">
      <c r="A162" s="271"/>
      <c r="B162" s="71" t="s">
        <v>263</v>
      </c>
      <c r="C162" s="184">
        <v>6</v>
      </c>
      <c r="D162" s="184"/>
      <c r="E162" s="184">
        <v>10</v>
      </c>
      <c r="F162" s="184"/>
      <c r="G162" s="184">
        <v>12</v>
      </c>
      <c r="H162" s="184"/>
    </row>
    <row r="163" spans="1:8" x14ac:dyDescent="0.25">
      <c r="A163" s="271"/>
      <c r="B163" s="71" t="s">
        <v>264</v>
      </c>
      <c r="C163" s="184">
        <v>1</v>
      </c>
      <c r="D163" s="184"/>
      <c r="E163" s="184">
        <v>2</v>
      </c>
      <c r="F163" s="184"/>
      <c r="G163" s="184">
        <v>2</v>
      </c>
      <c r="H163" s="184"/>
    </row>
    <row r="164" spans="1:8" x14ac:dyDescent="0.25">
      <c r="A164" s="271"/>
      <c r="B164" s="71" t="s">
        <v>265</v>
      </c>
      <c r="C164" s="184">
        <v>0</v>
      </c>
      <c r="D164" s="184"/>
      <c r="E164" s="184">
        <v>0</v>
      </c>
      <c r="F164" s="184"/>
      <c r="G164" s="184">
        <v>0</v>
      </c>
      <c r="H164" s="184"/>
    </row>
    <row r="165" spans="1:8" x14ac:dyDescent="0.25">
      <c r="A165" s="271"/>
      <c r="B165" s="71" t="s">
        <v>266</v>
      </c>
      <c r="C165" s="184">
        <v>0</v>
      </c>
      <c r="D165" s="184"/>
      <c r="E165" s="184">
        <v>0</v>
      </c>
      <c r="F165" s="184"/>
      <c r="G165" s="184">
        <v>0</v>
      </c>
      <c r="H165" s="184"/>
    </row>
    <row r="166" spans="1:8" x14ac:dyDescent="0.25">
      <c r="A166" s="271"/>
      <c r="B166" s="71" t="s">
        <v>267</v>
      </c>
      <c r="C166" s="184">
        <v>227</v>
      </c>
      <c r="D166" s="184"/>
      <c r="E166" s="184">
        <v>60</v>
      </c>
      <c r="F166" s="184"/>
      <c r="G166" s="184">
        <v>0</v>
      </c>
      <c r="H166" s="184"/>
    </row>
    <row r="167" spans="1:8" x14ac:dyDescent="0.25">
      <c r="A167" s="271"/>
      <c r="B167" s="71" t="s">
        <v>268</v>
      </c>
      <c r="C167" s="184">
        <v>0</v>
      </c>
      <c r="D167" s="184"/>
      <c r="E167" s="184">
        <v>0</v>
      </c>
      <c r="F167" s="184"/>
      <c r="G167" s="184">
        <v>0</v>
      </c>
      <c r="H167" s="184"/>
    </row>
    <row r="168" spans="1:8" x14ac:dyDescent="0.25">
      <c r="A168" s="271"/>
      <c r="B168" s="71" t="s">
        <v>269</v>
      </c>
      <c r="C168" s="184">
        <v>0</v>
      </c>
      <c r="D168" s="184"/>
      <c r="E168" s="184">
        <v>0</v>
      </c>
      <c r="F168" s="184"/>
      <c r="G168" s="184">
        <v>0</v>
      </c>
      <c r="H168" s="184"/>
    </row>
    <row r="169" spans="1:8" x14ac:dyDescent="0.25">
      <c r="A169" s="271"/>
      <c r="B169" s="71" t="s">
        <v>270</v>
      </c>
      <c r="C169" s="184">
        <v>0</v>
      </c>
      <c r="D169" s="184"/>
      <c r="E169" s="184">
        <v>0</v>
      </c>
      <c r="F169" s="184"/>
      <c r="G169" s="184">
        <v>0</v>
      </c>
      <c r="H169" s="184"/>
    </row>
    <row r="170" spans="1:8" x14ac:dyDescent="0.25">
      <c r="A170" s="271"/>
      <c r="B170" s="71" t="s">
        <v>271</v>
      </c>
      <c r="C170" s="184">
        <v>0</v>
      </c>
      <c r="D170" s="184"/>
      <c r="E170" s="184">
        <v>0</v>
      </c>
      <c r="F170" s="184"/>
      <c r="G170" s="184">
        <v>0</v>
      </c>
      <c r="H170" s="184"/>
    </row>
    <row r="171" spans="1:8" x14ac:dyDescent="0.25">
      <c r="A171" s="271"/>
      <c r="B171" s="71" t="s">
        <v>272</v>
      </c>
      <c r="C171" s="184">
        <v>2</v>
      </c>
      <c r="D171" s="184"/>
      <c r="E171" s="184">
        <v>14</v>
      </c>
      <c r="F171" s="184"/>
      <c r="G171" s="184">
        <v>0</v>
      </c>
      <c r="H171" s="184"/>
    </row>
    <row r="172" spans="1:8" x14ac:dyDescent="0.25">
      <c r="A172" s="271"/>
      <c r="B172" s="71" t="s">
        <v>273</v>
      </c>
      <c r="C172" s="184">
        <v>0</v>
      </c>
      <c r="D172" s="184"/>
      <c r="E172" s="184">
        <v>0</v>
      </c>
      <c r="F172" s="184"/>
      <c r="G172" s="184">
        <v>0</v>
      </c>
      <c r="H172" s="184"/>
    </row>
    <row r="173" spans="1:8" x14ac:dyDescent="0.25">
      <c r="A173" s="271"/>
      <c r="B173" s="71" t="s">
        <v>274</v>
      </c>
      <c r="C173" s="184">
        <v>0</v>
      </c>
      <c r="D173" s="184"/>
      <c r="E173" s="184">
        <v>0</v>
      </c>
      <c r="F173" s="184"/>
      <c r="G173" s="184">
        <v>0</v>
      </c>
      <c r="H173" s="184"/>
    </row>
    <row r="174" spans="1:8" x14ac:dyDescent="0.25">
      <c r="A174" s="271"/>
      <c r="B174" s="71" t="s">
        <v>275</v>
      </c>
      <c r="C174" s="184">
        <v>0</v>
      </c>
      <c r="D174" s="184"/>
      <c r="E174" s="184">
        <v>0</v>
      </c>
      <c r="F174" s="184"/>
      <c r="G174" s="184">
        <v>0</v>
      </c>
      <c r="H174" s="184"/>
    </row>
    <row r="175" spans="1:8" s="175" customFormat="1" x14ac:dyDescent="0.25">
      <c r="A175" s="176"/>
      <c r="B175" s="178" t="s">
        <v>586</v>
      </c>
      <c r="C175" s="184">
        <v>3</v>
      </c>
      <c r="D175" s="184"/>
      <c r="E175" s="184">
        <v>148</v>
      </c>
      <c r="F175" s="184"/>
      <c r="G175" s="184">
        <v>148</v>
      </c>
      <c r="H175" s="184"/>
    </row>
    <row r="176" spans="1:8" s="175" customFormat="1" x14ac:dyDescent="0.25">
      <c r="A176" s="176"/>
      <c r="B176" s="178" t="s">
        <v>587</v>
      </c>
      <c r="C176" s="184">
        <v>2</v>
      </c>
      <c r="D176" s="184"/>
      <c r="E176" s="184">
        <v>1</v>
      </c>
      <c r="F176" s="184"/>
      <c r="G176" s="184">
        <v>1</v>
      </c>
      <c r="H176" s="184"/>
    </row>
    <row r="177" spans="1:8" s="175" customFormat="1" x14ac:dyDescent="0.25">
      <c r="A177" s="176"/>
      <c r="B177" s="178" t="s">
        <v>588</v>
      </c>
      <c r="C177" s="184">
        <v>0</v>
      </c>
      <c r="D177" s="184"/>
      <c r="E177" s="184">
        <v>0</v>
      </c>
      <c r="F177" s="184"/>
      <c r="G177" s="184">
        <v>0</v>
      </c>
      <c r="H177" s="184"/>
    </row>
    <row r="178" spans="1:8" x14ac:dyDescent="0.25">
      <c r="A178" s="270" t="s">
        <v>120</v>
      </c>
      <c r="B178" s="70" t="s">
        <v>276</v>
      </c>
      <c r="C178" s="181">
        <v>1589</v>
      </c>
      <c r="D178" s="181"/>
      <c r="E178" s="181">
        <v>1881</v>
      </c>
      <c r="F178" s="181"/>
      <c r="G178" s="181">
        <v>26134</v>
      </c>
      <c r="H178" s="181"/>
    </row>
    <row r="179" spans="1:8" x14ac:dyDescent="0.25">
      <c r="A179" s="271"/>
      <c r="B179" s="71" t="s">
        <v>251</v>
      </c>
      <c r="C179" s="184">
        <v>17</v>
      </c>
      <c r="D179" s="184"/>
      <c r="E179" s="184">
        <v>17</v>
      </c>
      <c r="F179" s="184"/>
      <c r="G179" s="184">
        <v>17</v>
      </c>
      <c r="H179" s="184"/>
    </row>
    <row r="180" spans="1:8" x14ac:dyDescent="0.25">
      <c r="A180" s="271"/>
      <c r="B180" s="71" t="s">
        <v>252</v>
      </c>
      <c r="C180" s="184">
        <v>0</v>
      </c>
      <c r="D180" s="184"/>
      <c r="E180" s="184">
        <v>0</v>
      </c>
      <c r="F180" s="184"/>
      <c r="G180" s="184">
        <v>0</v>
      </c>
      <c r="H180" s="184"/>
    </row>
    <row r="181" spans="1:8" x14ac:dyDescent="0.25">
      <c r="A181" s="271"/>
      <c r="B181" s="71" t="s">
        <v>253</v>
      </c>
      <c r="C181" s="184">
        <v>0</v>
      </c>
      <c r="D181" s="184"/>
      <c r="E181" s="184">
        <v>0</v>
      </c>
      <c r="F181" s="184"/>
      <c r="G181" s="184">
        <v>0</v>
      </c>
      <c r="H181" s="184"/>
    </row>
    <row r="182" spans="1:8" x14ac:dyDescent="0.25">
      <c r="A182" s="271"/>
      <c r="B182" s="71" t="s">
        <v>254</v>
      </c>
      <c r="C182" s="184">
        <v>0</v>
      </c>
      <c r="D182" s="184"/>
      <c r="E182" s="184">
        <v>0</v>
      </c>
      <c r="F182" s="184"/>
      <c r="G182" s="184">
        <v>0</v>
      </c>
      <c r="H182" s="184"/>
    </row>
    <row r="183" spans="1:8" x14ac:dyDescent="0.25">
      <c r="A183" s="271"/>
      <c r="B183" s="71" t="s">
        <v>255</v>
      </c>
      <c r="C183" s="184">
        <v>5</v>
      </c>
      <c r="D183" s="184"/>
      <c r="E183" s="184">
        <v>64</v>
      </c>
      <c r="F183" s="184"/>
      <c r="G183" s="184">
        <v>0</v>
      </c>
      <c r="H183" s="184"/>
    </row>
    <row r="184" spans="1:8" x14ac:dyDescent="0.25">
      <c r="A184" s="271"/>
      <c r="B184" s="71" t="s">
        <v>256</v>
      </c>
      <c r="C184" s="184">
        <v>1</v>
      </c>
      <c r="D184" s="184"/>
      <c r="E184" s="184">
        <v>2</v>
      </c>
      <c r="F184" s="184"/>
      <c r="G184" s="184">
        <v>0</v>
      </c>
      <c r="H184" s="184"/>
    </row>
    <row r="185" spans="1:8" x14ac:dyDescent="0.25">
      <c r="A185" s="271"/>
      <c r="B185" s="71" t="s">
        <v>257</v>
      </c>
      <c r="C185" s="184">
        <v>0</v>
      </c>
      <c r="D185" s="184"/>
      <c r="E185" s="184">
        <v>0</v>
      </c>
      <c r="F185" s="184"/>
      <c r="G185" s="184">
        <v>0</v>
      </c>
      <c r="H185" s="184"/>
    </row>
    <row r="186" spans="1:8" x14ac:dyDescent="0.25">
      <c r="A186" s="271"/>
      <c r="B186" s="71" t="s">
        <v>258</v>
      </c>
      <c r="C186" s="184">
        <v>0</v>
      </c>
      <c r="D186" s="184"/>
      <c r="E186" s="184">
        <v>0</v>
      </c>
      <c r="F186" s="184"/>
      <c r="G186" s="184">
        <v>0</v>
      </c>
      <c r="H186" s="184"/>
    </row>
    <row r="187" spans="1:8" x14ac:dyDescent="0.25">
      <c r="A187" s="271"/>
      <c r="B187" s="71" t="s">
        <v>259</v>
      </c>
      <c r="C187" s="184">
        <v>0</v>
      </c>
      <c r="D187" s="184"/>
      <c r="E187" s="184">
        <v>0</v>
      </c>
      <c r="F187" s="184"/>
      <c r="G187" s="184">
        <v>0</v>
      </c>
      <c r="H187" s="184"/>
    </row>
    <row r="188" spans="1:8" x14ac:dyDescent="0.25">
      <c r="A188" s="271"/>
      <c r="B188" s="71" t="s">
        <v>260</v>
      </c>
      <c r="C188" s="184">
        <v>0</v>
      </c>
      <c r="D188" s="184"/>
      <c r="E188" s="184">
        <v>0</v>
      </c>
      <c r="F188" s="184"/>
      <c r="G188" s="184">
        <v>0</v>
      </c>
      <c r="H188" s="184"/>
    </row>
    <row r="189" spans="1:8" x14ac:dyDescent="0.25">
      <c r="A189" s="271"/>
      <c r="B189" s="71" t="s">
        <v>261</v>
      </c>
      <c r="C189" s="184">
        <v>0</v>
      </c>
      <c r="D189" s="184"/>
      <c r="E189" s="184">
        <v>128</v>
      </c>
      <c r="F189" s="184"/>
      <c r="G189" s="184">
        <v>0</v>
      </c>
      <c r="H189" s="184"/>
    </row>
    <row r="190" spans="1:8" x14ac:dyDescent="0.25">
      <c r="A190" s="271"/>
      <c r="B190" s="71" t="s">
        <v>262</v>
      </c>
      <c r="C190" s="184">
        <v>12</v>
      </c>
      <c r="D190" s="184"/>
      <c r="E190" s="184">
        <v>1283</v>
      </c>
      <c r="F190" s="184"/>
      <c r="G190" s="184">
        <v>26067</v>
      </c>
      <c r="H190" s="184"/>
    </row>
    <row r="191" spans="1:8" x14ac:dyDescent="0.25">
      <c r="A191" s="271"/>
      <c r="B191" s="71" t="s">
        <v>263</v>
      </c>
      <c r="C191" s="184">
        <v>13</v>
      </c>
      <c r="D191" s="184"/>
      <c r="E191" s="184">
        <v>13</v>
      </c>
      <c r="F191" s="184"/>
      <c r="G191" s="184">
        <v>13</v>
      </c>
      <c r="H191" s="184"/>
    </row>
    <row r="192" spans="1:8" x14ac:dyDescent="0.25">
      <c r="A192" s="271"/>
      <c r="B192" s="71" t="s">
        <v>264</v>
      </c>
      <c r="C192" s="184">
        <v>0</v>
      </c>
      <c r="D192" s="184"/>
      <c r="E192" s="184">
        <v>0</v>
      </c>
      <c r="F192" s="184"/>
      <c r="G192" s="184">
        <v>0</v>
      </c>
      <c r="H192" s="184"/>
    </row>
    <row r="193" spans="1:8" x14ac:dyDescent="0.25">
      <c r="A193" s="271"/>
      <c r="B193" s="71" t="s">
        <v>265</v>
      </c>
      <c r="C193" s="184">
        <v>1</v>
      </c>
      <c r="D193" s="184"/>
      <c r="E193" s="184">
        <v>2</v>
      </c>
      <c r="F193" s="184"/>
      <c r="G193" s="184">
        <v>0</v>
      </c>
      <c r="H193" s="184"/>
    </row>
    <row r="194" spans="1:8" x14ac:dyDescent="0.25">
      <c r="A194" s="271"/>
      <c r="B194" s="71" t="s">
        <v>266</v>
      </c>
      <c r="C194" s="184">
        <v>0</v>
      </c>
      <c r="D194" s="184"/>
      <c r="E194" s="184">
        <v>0</v>
      </c>
      <c r="F194" s="184"/>
      <c r="G194" s="184">
        <v>0</v>
      </c>
      <c r="H194" s="184"/>
    </row>
    <row r="195" spans="1:8" x14ac:dyDescent="0.25">
      <c r="A195" s="271"/>
      <c r="B195" s="71" t="s">
        <v>267</v>
      </c>
      <c r="C195" s="184">
        <v>1528</v>
      </c>
      <c r="D195" s="184"/>
      <c r="E195" s="184">
        <v>360</v>
      </c>
      <c r="F195" s="184"/>
      <c r="G195" s="184">
        <v>27</v>
      </c>
      <c r="H195" s="184"/>
    </row>
    <row r="196" spans="1:8" x14ac:dyDescent="0.25">
      <c r="A196" s="271"/>
      <c r="B196" s="71" t="s">
        <v>268</v>
      </c>
      <c r="C196" s="184">
        <v>0</v>
      </c>
      <c r="D196" s="184"/>
      <c r="E196" s="184">
        <v>0</v>
      </c>
      <c r="F196" s="184"/>
      <c r="G196" s="184">
        <v>0</v>
      </c>
      <c r="H196" s="184"/>
    </row>
    <row r="197" spans="1:8" x14ac:dyDescent="0.25">
      <c r="A197" s="271"/>
      <c r="B197" s="71" t="s">
        <v>269</v>
      </c>
      <c r="C197" s="184">
        <v>0</v>
      </c>
      <c r="D197" s="184"/>
      <c r="E197" s="184">
        <v>0</v>
      </c>
      <c r="F197" s="184"/>
      <c r="G197" s="184">
        <v>0</v>
      </c>
      <c r="H197" s="184"/>
    </row>
    <row r="198" spans="1:8" x14ac:dyDescent="0.25">
      <c r="A198" s="271"/>
      <c r="B198" s="71" t="s">
        <v>270</v>
      </c>
      <c r="C198" s="184">
        <v>0</v>
      </c>
      <c r="D198" s="184"/>
      <c r="E198" s="184">
        <v>0</v>
      </c>
      <c r="F198" s="184"/>
      <c r="G198" s="184">
        <v>0</v>
      </c>
      <c r="H198" s="184"/>
    </row>
    <row r="199" spans="1:8" x14ac:dyDescent="0.25">
      <c r="A199" s="271"/>
      <c r="B199" s="71" t="s">
        <v>271</v>
      </c>
      <c r="C199" s="184">
        <v>10</v>
      </c>
      <c r="D199" s="184"/>
      <c r="E199" s="184">
        <v>10</v>
      </c>
      <c r="F199" s="184"/>
      <c r="G199" s="184">
        <v>10</v>
      </c>
      <c r="H199" s="184"/>
    </row>
    <row r="200" spans="1:8" x14ac:dyDescent="0.25">
      <c r="A200" s="271"/>
      <c r="B200" s="71" t="s">
        <v>272</v>
      </c>
      <c r="C200" s="184">
        <v>0</v>
      </c>
      <c r="D200" s="184"/>
      <c r="E200" s="184">
        <v>0</v>
      </c>
      <c r="F200" s="184"/>
      <c r="G200" s="184">
        <v>0</v>
      </c>
      <c r="H200" s="184"/>
    </row>
    <row r="201" spans="1:8" x14ac:dyDescent="0.25">
      <c r="A201" s="271"/>
      <c r="B201" s="71" t="s">
        <v>273</v>
      </c>
      <c r="C201" s="184">
        <v>2</v>
      </c>
      <c r="D201" s="184"/>
      <c r="E201" s="184">
        <v>2</v>
      </c>
      <c r="F201" s="184"/>
      <c r="G201" s="184">
        <v>0</v>
      </c>
      <c r="H201" s="184"/>
    </row>
    <row r="202" spans="1:8" x14ac:dyDescent="0.25">
      <c r="A202" s="271"/>
      <c r="B202" s="71" t="s">
        <v>274</v>
      </c>
      <c r="C202" s="184">
        <v>0</v>
      </c>
      <c r="D202" s="184"/>
      <c r="E202" s="184">
        <v>0</v>
      </c>
      <c r="F202" s="184"/>
      <c r="G202" s="184">
        <v>0</v>
      </c>
      <c r="H202" s="184"/>
    </row>
    <row r="203" spans="1:8" x14ac:dyDescent="0.25">
      <c r="A203" s="271"/>
      <c r="B203" s="71" t="s">
        <v>275</v>
      </c>
      <c r="C203" s="184">
        <v>0</v>
      </c>
      <c r="D203" s="184"/>
      <c r="E203" s="184">
        <v>0</v>
      </c>
      <c r="F203" s="184"/>
      <c r="G203" s="184">
        <v>0</v>
      </c>
      <c r="H203" s="184"/>
    </row>
    <row r="204" spans="1:8" s="173" customFormat="1" x14ac:dyDescent="0.25">
      <c r="A204" s="174"/>
      <c r="B204" s="178" t="s">
        <v>586</v>
      </c>
      <c r="C204" s="184">
        <v>0</v>
      </c>
      <c r="D204" s="184"/>
      <c r="E204" s="184">
        <v>0</v>
      </c>
      <c r="F204" s="184"/>
      <c r="G204" s="184">
        <v>0</v>
      </c>
      <c r="H204" s="184"/>
    </row>
    <row r="205" spans="1:8" s="173" customFormat="1" x14ac:dyDescent="0.25">
      <c r="A205" s="174"/>
      <c r="B205" s="178" t="s">
        <v>587</v>
      </c>
      <c r="C205" s="184">
        <v>0</v>
      </c>
      <c r="D205" s="184"/>
      <c r="E205" s="184">
        <v>0</v>
      </c>
      <c r="F205" s="184"/>
      <c r="G205" s="184">
        <v>0</v>
      </c>
      <c r="H205" s="184"/>
    </row>
    <row r="206" spans="1:8" s="173" customFormat="1" x14ac:dyDescent="0.25">
      <c r="A206" s="174"/>
      <c r="B206" s="178" t="s">
        <v>588</v>
      </c>
      <c r="C206" s="184">
        <v>0</v>
      </c>
      <c r="D206" s="184"/>
      <c r="E206" s="184">
        <v>0</v>
      </c>
      <c r="F206" s="184"/>
      <c r="G206" s="184">
        <v>0</v>
      </c>
      <c r="H206" s="184"/>
    </row>
    <row r="207" spans="1:8" x14ac:dyDescent="0.25">
      <c r="A207" s="270" t="s">
        <v>121</v>
      </c>
      <c r="B207" s="138" t="s">
        <v>276</v>
      </c>
      <c r="C207" s="181">
        <v>2226</v>
      </c>
      <c r="D207" s="181"/>
      <c r="E207" s="181">
        <v>9121</v>
      </c>
      <c r="F207" s="181"/>
      <c r="G207" s="181">
        <v>154109</v>
      </c>
      <c r="H207" s="181"/>
    </row>
    <row r="208" spans="1:8" x14ac:dyDescent="0.25">
      <c r="A208" s="271"/>
      <c r="B208" s="71" t="s">
        <v>251</v>
      </c>
      <c r="C208" s="184">
        <v>144</v>
      </c>
      <c r="D208" s="184"/>
      <c r="E208" s="184">
        <v>144</v>
      </c>
      <c r="F208" s="184"/>
      <c r="G208" s="184">
        <v>144</v>
      </c>
      <c r="H208" s="184"/>
    </row>
    <row r="209" spans="1:8" x14ac:dyDescent="0.25">
      <c r="A209" s="271"/>
      <c r="B209" s="71" t="s">
        <v>252</v>
      </c>
      <c r="C209" s="184">
        <v>26</v>
      </c>
      <c r="D209" s="184"/>
      <c r="E209" s="184">
        <v>26</v>
      </c>
      <c r="F209" s="184"/>
      <c r="G209" s="184">
        <v>26</v>
      </c>
      <c r="H209" s="184"/>
    </row>
    <row r="210" spans="1:8" x14ac:dyDescent="0.25">
      <c r="A210" s="271"/>
      <c r="B210" s="71" t="s">
        <v>253</v>
      </c>
      <c r="C210" s="184">
        <v>32</v>
      </c>
      <c r="D210" s="184"/>
      <c r="E210" s="184">
        <v>489</v>
      </c>
      <c r="F210" s="184"/>
      <c r="G210" s="184">
        <v>7997</v>
      </c>
      <c r="H210" s="184"/>
    </row>
    <row r="211" spans="1:8" x14ac:dyDescent="0.25">
      <c r="A211" s="271"/>
      <c r="B211" s="71" t="s">
        <v>254</v>
      </c>
      <c r="C211" s="184">
        <v>0</v>
      </c>
      <c r="D211" s="184"/>
      <c r="E211" s="184">
        <v>0</v>
      </c>
      <c r="F211" s="184"/>
      <c r="G211" s="184">
        <v>0</v>
      </c>
      <c r="H211" s="184"/>
    </row>
    <row r="212" spans="1:8" x14ac:dyDescent="0.25">
      <c r="A212" s="271"/>
      <c r="B212" s="71" t="s">
        <v>255</v>
      </c>
      <c r="C212" s="184">
        <v>18</v>
      </c>
      <c r="D212" s="184"/>
      <c r="E212" s="184">
        <v>182</v>
      </c>
      <c r="F212" s="184"/>
      <c r="G212" s="184">
        <v>0</v>
      </c>
      <c r="H212" s="184"/>
    </row>
    <row r="213" spans="1:8" x14ac:dyDescent="0.25">
      <c r="A213" s="271"/>
      <c r="B213" s="71" t="s">
        <v>256</v>
      </c>
      <c r="C213" s="184">
        <v>4</v>
      </c>
      <c r="D213" s="184"/>
      <c r="E213" s="184">
        <v>37</v>
      </c>
      <c r="F213" s="184"/>
      <c r="G213" s="184">
        <v>0</v>
      </c>
      <c r="H213" s="184"/>
    </row>
    <row r="214" spans="1:8" x14ac:dyDescent="0.25">
      <c r="A214" s="271"/>
      <c r="B214" s="71" t="s">
        <v>257</v>
      </c>
      <c r="C214" s="184">
        <v>18</v>
      </c>
      <c r="D214" s="184"/>
      <c r="E214" s="184">
        <v>3116</v>
      </c>
      <c r="F214" s="184"/>
      <c r="G214" s="184">
        <v>3050</v>
      </c>
      <c r="H214" s="184"/>
    </row>
    <row r="215" spans="1:8" x14ac:dyDescent="0.25">
      <c r="A215" s="271"/>
      <c r="B215" s="71" t="s">
        <v>258</v>
      </c>
      <c r="C215" s="184">
        <v>3</v>
      </c>
      <c r="D215" s="184"/>
      <c r="E215" s="184">
        <v>14</v>
      </c>
      <c r="F215" s="184"/>
      <c r="G215" s="184">
        <v>142</v>
      </c>
      <c r="H215" s="184"/>
    </row>
    <row r="216" spans="1:8" x14ac:dyDescent="0.25">
      <c r="A216" s="271"/>
      <c r="B216" s="71" t="s">
        <v>259</v>
      </c>
      <c r="C216" s="184">
        <v>2</v>
      </c>
      <c r="D216" s="184"/>
      <c r="E216" s="184">
        <v>3</v>
      </c>
      <c r="F216" s="184"/>
      <c r="G216" s="184">
        <v>3</v>
      </c>
      <c r="H216" s="184"/>
    </row>
    <row r="217" spans="1:8" x14ac:dyDescent="0.25">
      <c r="A217" s="271"/>
      <c r="B217" s="71" t="s">
        <v>260</v>
      </c>
      <c r="C217" s="184">
        <v>2</v>
      </c>
      <c r="D217" s="184"/>
      <c r="E217" s="184">
        <v>13</v>
      </c>
      <c r="F217" s="184"/>
      <c r="G217" s="184">
        <v>2</v>
      </c>
      <c r="H217" s="184"/>
    </row>
    <row r="218" spans="1:8" x14ac:dyDescent="0.25">
      <c r="A218" s="271"/>
      <c r="B218" s="71" t="s">
        <v>261</v>
      </c>
      <c r="C218" s="184">
        <v>0</v>
      </c>
      <c r="D218" s="184"/>
      <c r="E218" s="184">
        <v>0</v>
      </c>
      <c r="F218" s="184"/>
      <c r="G218" s="184">
        <v>0</v>
      </c>
      <c r="H218" s="184"/>
    </row>
    <row r="219" spans="1:8" x14ac:dyDescent="0.25">
      <c r="A219" s="271"/>
      <c r="B219" s="71" t="s">
        <v>262</v>
      </c>
      <c r="C219" s="184">
        <v>50</v>
      </c>
      <c r="D219" s="184"/>
      <c r="E219" s="184">
        <v>1067</v>
      </c>
      <c r="F219" s="184"/>
      <c r="G219" s="184">
        <v>140470</v>
      </c>
      <c r="H219" s="184"/>
    </row>
    <row r="220" spans="1:8" x14ac:dyDescent="0.25">
      <c r="A220" s="271"/>
      <c r="B220" s="71" t="s">
        <v>263</v>
      </c>
      <c r="C220" s="184">
        <v>27</v>
      </c>
      <c r="D220" s="184"/>
      <c r="E220" s="184">
        <v>43</v>
      </c>
      <c r="F220" s="184"/>
      <c r="G220" s="184">
        <v>126</v>
      </c>
      <c r="H220" s="184"/>
    </row>
    <row r="221" spans="1:8" x14ac:dyDescent="0.25">
      <c r="A221" s="271"/>
      <c r="B221" s="71" t="s">
        <v>264</v>
      </c>
      <c r="C221" s="184">
        <v>0</v>
      </c>
      <c r="D221" s="184"/>
      <c r="E221" s="184">
        <v>4</v>
      </c>
      <c r="F221" s="184"/>
      <c r="G221" s="184">
        <v>4</v>
      </c>
      <c r="H221" s="184"/>
    </row>
    <row r="222" spans="1:8" x14ac:dyDescent="0.25">
      <c r="A222" s="271"/>
      <c r="B222" s="71" t="s">
        <v>265</v>
      </c>
      <c r="C222" s="184">
        <v>0</v>
      </c>
      <c r="D222" s="184"/>
      <c r="E222" s="184">
        <v>0</v>
      </c>
      <c r="F222" s="184"/>
      <c r="G222" s="184">
        <v>0</v>
      </c>
      <c r="H222" s="184"/>
    </row>
    <row r="223" spans="1:8" x14ac:dyDescent="0.25">
      <c r="A223" s="271"/>
      <c r="B223" s="71" t="s">
        <v>266</v>
      </c>
      <c r="C223" s="184">
        <v>0</v>
      </c>
      <c r="D223" s="184"/>
      <c r="E223" s="184">
        <v>0</v>
      </c>
      <c r="F223" s="184"/>
      <c r="G223" s="184">
        <v>0</v>
      </c>
      <c r="H223" s="184"/>
    </row>
    <row r="224" spans="1:8" x14ac:dyDescent="0.25">
      <c r="A224" s="271"/>
      <c r="B224" s="71" t="s">
        <v>267</v>
      </c>
      <c r="C224" s="184">
        <v>1872</v>
      </c>
      <c r="D224" s="184"/>
      <c r="E224" s="184">
        <v>3085</v>
      </c>
      <c r="F224" s="184"/>
      <c r="G224" s="184">
        <v>7</v>
      </c>
      <c r="H224" s="184"/>
    </row>
    <row r="225" spans="1:8" x14ac:dyDescent="0.25">
      <c r="A225" s="271"/>
      <c r="B225" s="71" t="s">
        <v>268</v>
      </c>
      <c r="C225" s="184">
        <v>1</v>
      </c>
      <c r="D225" s="184"/>
      <c r="E225" s="184">
        <v>1</v>
      </c>
      <c r="F225" s="184"/>
      <c r="G225" s="184">
        <v>1</v>
      </c>
      <c r="H225" s="184"/>
    </row>
    <row r="226" spans="1:8" x14ac:dyDescent="0.25">
      <c r="A226" s="271"/>
      <c r="B226" s="71" t="s">
        <v>269</v>
      </c>
      <c r="C226" s="184">
        <v>0</v>
      </c>
      <c r="D226" s="184"/>
      <c r="E226" s="184">
        <v>0</v>
      </c>
      <c r="F226" s="184"/>
      <c r="G226" s="184">
        <v>0</v>
      </c>
      <c r="H226" s="184"/>
    </row>
    <row r="227" spans="1:8" x14ac:dyDescent="0.25">
      <c r="A227" s="271"/>
      <c r="B227" s="71" t="s">
        <v>270</v>
      </c>
      <c r="C227" s="184">
        <v>3</v>
      </c>
      <c r="D227" s="184"/>
      <c r="E227" s="184">
        <v>187</v>
      </c>
      <c r="F227" s="184"/>
      <c r="G227" s="184">
        <v>248</v>
      </c>
      <c r="H227" s="184"/>
    </row>
    <row r="228" spans="1:8" x14ac:dyDescent="0.25">
      <c r="A228" s="271"/>
      <c r="B228" s="71" t="s">
        <v>271</v>
      </c>
      <c r="C228" s="184">
        <v>10</v>
      </c>
      <c r="D228" s="184"/>
      <c r="E228" s="184">
        <v>10</v>
      </c>
      <c r="F228" s="184"/>
      <c r="G228" s="184">
        <v>10</v>
      </c>
      <c r="H228" s="184"/>
    </row>
    <row r="229" spans="1:8" x14ac:dyDescent="0.25">
      <c r="A229" s="271"/>
      <c r="B229" s="71" t="s">
        <v>272</v>
      </c>
      <c r="C229" s="184">
        <v>0</v>
      </c>
      <c r="D229" s="184"/>
      <c r="E229" s="184">
        <v>2</v>
      </c>
      <c r="F229" s="184"/>
      <c r="G229" s="184">
        <v>0</v>
      </c>
      <c r="H229" s="184"/>
    </row>
    <row r="230" spans="1:8" x14ac:dyDescent="0.25">
      <c r="A230" s="271"/>
      <c r="B230" s="71" t="s">
        <v>273</v>
      </c>
      <c r="C230" s="184">
        <v>14</v>
      </c>
      <c r="D230" s="184"/>
      <c r="E230" s="184">
        <v>698</v>
      </c>
      <c r="F230" s="184"/>
      <c r="G230" s="184">
        <v>1879</v>
      </c>
      <c r="H230" s="184"/>
    </row>
    <row r="231" spans="1:8" x14ac:dyDescent="0.25">
      <c r="A231" s="271"/>
      <c r="B231" s="71" t="s">
        <v>274</v>
      </c>
      <c r="C231" s="184">
        <v>0</v>
      </c>
      <c r="D231" s="184"/>
      <c r="E231" s="184">
        <v>0</v>
      </c>
      <c r="F231" s="184"/>
      <c r="G231" s="184">
        <v>0</v>
      </c>
      <c r="H231" s="184"/>
    </row>
    <row r="232" spans="1:8" x14ac:dyDescent="0.25">
      <c r="A232" s="271"/>
      <c r="B232" s="71" t="s">
        <v>275</v>
      </c>
      <c r="C232" s="184">
        <v>0</v>
      </c>
      <c r="D232" s="184"/>
      <c r="E232" s="184">
        <v>0</v>
      </c>
      <c r="F232" s="184"/>
      <c r="G232" s="184">
        <v>0</v>
      </c>
      <c r="H232" s="184"/>
    </row>
    <row r="233" spans="1:8" s="177" customFormat="1" x14ac:dyDescent="0.25">
      <c r="A233" s="179"/>
      <c r="B233" s="178" t="s">
        <v>586</v>
      </c>
      <c r="C233" s="184">
        <v>0</v>
      </c>
      <c r="D233" s="184"/>
      <c r="E233" s="184">
        <v>0</v>
      </c>
      <c r="F233" s="184"/>
      <c r="G233" s="184">
        <v>0</v>
      </c>
      <c r="H233" s="184"/>
    </row>
    <row r="234" spans="1:8" s="177" customFormat="1" x14ac:dyDescent="0.25">
      <c r="A234" s="179"/>
      <c r="B234" s="178" t="s">
        <v>587</v>
      </c>
      <c r="C234" s="184">
        <v>0</v>
      </c>
      <c r="D234" s="184"/>
      <c r="E234" s="184">
        <v>0</v>
      </c>
      <c r="F234" s="184"/>
      <c r="G234" s="184">
        <v>0</v>
      </c>
      <c r="H234" s="184"/>
    </row>
    <row r="235" spans="1:8" s="177" customFormat="1" x14ac:dyDescent="0.25">
      <c r="A235" s="179"/>
      <c r="B235" s="178" t="s">
        <v>588</v>
      </c>
      <c r="C235" s="184">
        <v>0</v>
      </c>
      <c r="D235" s="184"/>
      <c r="E235" s="184">
        <v>0</v>
      </c>
      <c r="F235" s="184"/>
      <c r="G235" s="184">
        <v>0</v>
      </c>
      <c r="H235" s="184"/>
    </row>
    <row r="236" spans="1:8" x14ac:dyDescent="0.25">
      <c r="A236" s="275" t="s">
        <v>501</v>
      </c>
      <c r="B236" s="70" t="s">
        <v>276</v>
      </c>
      <c r="C236" s="181">
        <v>25</v>
      </c>
      <c r="D236" s="181"/>
      <c r="E236" s="181">
        <v>3861</v>
      </c>
      <c r="F236" s="181"/>
      <c r="G236" s="181">
        <v>8663</v>
      </c>
      <c r="H236" s="181"/>
    </row>
    <row r="237" spans="1:8" x14ac:dyDescent="0.25">
      <c r="A237" s="276"/>
      <c r="B237" s="71" t="s">
        <v>251</v>
      </c>
      <c r="C237" s="184">
        <v>6</v>
      </c>
      <c r="D237" s="184"/>
      <c r="E237" s="184">
        <v>6</v>
      </c>
      <c r="F237" s="184"/>
      <c r="G237" s="184">
        <v>6</v>
      </c>
      <c r="H237" s="184"/>
    </row>
    <row r="238" spans="1:8" x14ac:dyDescent="0.25">
      <c r="A238" s="276"/>
      <c r="B238" s="71" t="s">
        <v>252</v>
      </c>
      <c r="C238" s="184">
        <v>0</v>
      </c>
      <c r="D238" s="184"/>
      <c r="E238" s="184">
        <v>0</v>
      </c>
      <c r="F238" s="184"/>
      <c r="G238" s="184">
        <v>0</v>
      </c>
      <c r="H238" s="184"/>
    </row>
    <row r="239" spans="1:8" x14ac:dyDescent="0.25">
      <c r="A239" s="276"/>
      <c r="B239" s="71" t="s">
        <v>253</v>
      </c>
      <c r="C239" s="184">
        <v>1</v>
      </c>
      <c r="D239" s="184"/>
      <c r="E239" s="184">
        <v>1</v>
      </c>
      <c r="F239" s="184"/>
      <c r="G239" s="184">
        <v>35</v>
      </c>
      <c r="H239" s="184"/>
    </row>
    <row r="240" spans="1:8" x14ac:dyDescent="0.25">
      <c r="A240" s="276"/>
      <c r="B240" s="71" t="s">
        <v>254</v>
      </c>
      <c r="C240" s="184">
        <v>0</v>
      </c>
      <c r="D240" s="184"/>
      <c r="E240" s="184">
        <v>0</v>
      </c>
      <c r="F240" s="184"/>
      <c r="G240" s="184">
        <v>0</v>
      </c>
      <c r="H240" s="184"/>
    </row>
    <row r="241" spans="1:8" x14ac:dyDescent="0.25">
      <c r="A241" s="276"/>
      <c r="B241" s="71" t="s">
        <v>255</v>
      </c>
      <c r="C241" s="184">
        <v>0</v>
      </c>
      <c r="D241" s="184"/>
      <c r="E241" s="184">
        <v>0</v>
      </c>
      <c r="F241" s="184"/>
      <c r="G241" s="184">
        <v>0</v>
      </c>
      <c r="H241" s="184"/>
    </row>
    <row r="242" spans="1:8" x14ac:dyDescent="0.25">
      <c r="A242" s="276"/>
      <c r="B242" s="71" t="s">
        <v>256</v>
      </c>
      <c r="C242" s="184">
        <v>0</v>
      </c>
      <c r="D242" s="184"/>
      <c r="E242" s="184">
        <v>0</v>
      </c>
      <c r="F242" s="184"/>
      <c r="G242" s="184">
        <v>0</v>
      </c>
      <c r="H242" s="184"/>
    </row>
    <row r="243" spans="1:8" x14ac:dyDescent="0.25">
      <c r="A243" s="276"/>
      <c r="B243" s="71" t="s">
        <v>257</v>
      </c>
      <c r="C243" s="184">
        <v>0</v>
      </c>
      <c r="D243" s="184"/>
      <c r="E243" s="184">
        <v>0</v>
      </c>
      <c r="F243" s="184"/>
      <c r="G243" s="184">
        <v>0</v>
      </c>
      <c r="H243" s="184"/>
    </row>
    <row r="244" spans="1:8" x14ac:dyDescent="0.25">
      <c r="A244" s="276"/>
      <c r="B244" s="71" t="s">
        <v>258</v>
      </c>
      <c r="C244" s="184">
        <v>0</v>
      </c>
      <c r="D244" s="184"/>
      <c r="E244" s="184">
        <v>0</v>
      </c>
      <c r="F244" s="184"/>
      <c r="G244" s="184">
        <v>0</v>
      </c>
      <c r="H244" s="184"/>
    </row>
    <row r="245" spans="1:8" x14ac:dyDescent="0.25">
      <c r="A245" s="276"/>
      <c r="B245" s="71" t="s">
        <v>259</v>
      </c>
      <c r="C245" s="184">
        <v>0</v>
      </c>
      <c r="D245" s="184"/>
      <c r="E245" s="184">
        <v>0</v>
      </c>
      <c r="F245" s="184"/>
      <c r="G245" s="184">
        <v>0</v>
      </c>
      <c r="H245" s="184"/>
    </row>
    <row r="246" spans="1:8" x14ac:dyDescent="0.25">
      <c r="A246" s="276"/>
      <c r="B246" s="71" t="s">
        <v>260</v>
      </c>
      <c r="C246" s="184">
        <v>0</v>
      </c>
      <c r="D246" s="184"/>
      <c r="E246" s="184">
        <v>0</v>
      </c>
      <c r="F246" s="184"/>
      <c r="G246" s="184">
        <v>0</v>
      </c>
      <c r="H246" s="184"/>
    </row>
    <row r="247" spans="1:8" x14ac:dyDescent="0.25">
      <c r="A247" s="276"/>
      <c r="B247" s="71" t="s">
        <v>261</v>
      </c>
      <c r="C247" s="184">
        <v>0</v>
      </c>
      <c r="D247" s="184"/>
      <c r="E247" s="184">
        <v>0</v>
      </c>
      <c r="F247" s="184"/>
      <c r="G247" s="184">
        <v>0</v>
      </c>
      <c r="H247" s="184"/>
    </row>
    <row r="248" spans="1:8" x14ac:dyDescent="0.25">
      <c r="A248" s="276"/>
      <c r="B248" s="71" t="s">
        <v>262</v>
      </c>
      <c r="C248" s="184">
        <v>18</v>
      </c>
      <c r="D248" s="184"/>
      <c r="E248" s="184">
        <v>3854</v>
      </c>
      <c r="F248" s="184"/>
      <c r="G248" s="184">
        <v>8622</v>
      </c>
      <c r="H248" s="184"/>
    </row>
    <row r="249" spans="1:8" x14ac:dyDescent="0.25">
      <c r="A249" s="276"/>
      <c r="B249" s="71" t="s">
        <v>263</v>
      </c>
      <c r="C249" s="184">
        <v>0</v>
      </c>
      <c r="D249" s="184"/>
      <c r="E249" s="184">
        <v>0</v>
      </c>
      <c r="F249" s="184"/>
      <c r="G249" s="184">
        <v>0</v>
      </c>
      <c r="H249" s="184"/>
    </row>
    <row r="250" spans="1:8" x14ac:dyDescent="0.25">
      <c r="A250" s="276"/>
      <c r="B250" s="71" t="s">
        <v>264</v>
      </c>
      <c r="C250" s="184">
        <v>0</v>
      </c>
      <c r="D250" s="184"/>
      <c r="E250" s="184">
        <v>0</v>
      </c>
      <c r="F250" s="184"/>
      <c r="G250" s="184">
        <v>0</v>
      </c>
      <c r="H250" s="184"/>
    </row>
    <row r="251" spans="1:8" x14ac:dyDescent="0.25">
      <c r="A251" s="276"/>
      <c r="B251" s="71" t="s">
        <v>265</v>
      </c>
      <c r="C251" s="184">
        <v>0</v>
      </c>
      <c r="D251" s="184"/>
      <c r="E251" s="184">
        <v>0</v>
      </c>
      <c r="F251" s="184"/>
      <c r="G251" s="184">
        <v>0</v>
      </c>
      <c r="H251" s="184"/>
    </row>
    <row r="252" spans="1:8" x14ac:dyDescent="0.25">
      <c r="A252" s="276"/>
      <c r="B252" s="71" t="s">
        <v>266</v>
      </c>
      <c r="C252" s="184">
        <v>0</v>
      </c>
      <c r="D252" s="184"/>
      <c r="E252" s="184">
        <v>0</v>
      </c>
      <c r="F252" s="184"/>
      <c r="G252" s="184">
        <v>0</v>
      </c>
      <c r="H252" s="184"/>
    </row>
    <row r="253" spans="1:8" x14ac:dyDescent="0.25">
      <c r="A253" s="276"/>
      <c r="B253" s="71" t="s">
        <v>267</v>
      </c>
      <c r="C253" s="184">
        <v>0</v>
      </c>
      <c r="D253" s="184"/>
      <c r="E253" s="184">
        <v>0</v>
      </c>
      <c r="F253" s="184"/>
      <c r="G253" s="184">
        <v>0</v>
      </c>
      <c r="H253" s="184"/>
    </row>
    <row r="254" spans="1:8" x14ac:dyDescent="0.25">
      <c r="A254" s="276"/>
      <c r="B254" s="71" t="s">
        <v>268</v>
      </c>
      <c r="C254" s="184">
        <v>0</v>
      </c>
      <c r="D254" s="184"/>
      <c r="E254" s="184">
        <v>0</v>
      </c>
      <c r="F254" s="184"/>
      <c r="G254" s="184">
        <v>0</v>
      </c>
      <c r="H254" s="184"/>
    </row>
    <row r="255" spans="1:8" x14ac:dyDescent="0.25">
      <c r="A255" s="276"/>
      <c r="B255" s="71" t="s">
        <v>269</v>
      </c>
      <c r="C255" s="184">
        <v>0</v>
      </c>
      <c r="D255" s="184"/>
      <c r="E255" s="184">
        <v>0</v>
      </c>
      <c r="F255" s="184"/>
      <c r="G255" s="184">
        <v>0</v>
      </c>
      <c r="H255" s="184"/>
    </row>
    <row r="256" spans="1:8" x14ac:dyDescent="0.25">
      <c r="A256" s="276"/>
      <c r="B256" s="71" t="s">
        <v>270</v>
      </c>
      <c r="C256" s="184">
        <v>0</v>
      </c>
      <c r="D256" s="184"/>
      <c r="E256" s="184">
        <v>0</v>
      </c>
      <c r="F256" s="184"/>
      <c r="G256" s="184">
        <v>0</v>
      </c>
      <c r="H256" s="184"/>
    </row>
    <row r="257" spans="1:8" x14ac:dyDescent="0.25">
      <c r="A257" s="276"/>
      <c r="B257" s="71" t="s">
        <v>271</v>
      </c>
      <c r="C257" s="184">
        <v>0</v>
      </c>
      <c r="D257" s="184"/>
      <c r="E257" s="184">
        <v>0</v>
      </c>
      <c r="F257" s="184"/>
      <c r="G257" s="184">
        <v>0</v>
      </c>
      <c r="H257" s="184"/>
    </row>
    <row r="258" spans="1:8" x14ac:dyDescent="0.25">
      <c r="A258" s="276"/>
      <c r="B258" s="71" t="s">
        <v>272</v>
      </c>
      <c r="C258" s="184">
        <v>0</v>
      </c>
      <c r="D258" s="184"/>
      <c r="E258" s="184">
        <v>0</v>
      </c>
      <c r="F258" s="184"/>
      <c r="G258" s="184">
        <v>0</v>
      </c>
      <c r="H258" s="184"/>
    </row>
    <row r="259" spans="1:8" x14ac:dyDescent="0.25">
      <c r="A259" s="276"/>
      <c r="B259" s="71" t="s">
        <v>273</v>
      </c>
      <c r="C259" s="184">
        <v>0</v>
      </c>
      <c r="D259" s="184"/>
      <c r="E259" s="184">
        <v>0</v>
      </c>
      <c r="F259" s="184"/>
      <c r="G259" s="184">
        <v>0</v>
      </c>
      <c r="H259" s="184"/>
    </row>
    <row r="260" spans="1:8" x14ac:dyDescent="0.25">
      <c r="A260" s="276"/>
      <c r="B260" s="71" t="s">
        <v>274</v>
      </c>
      <c r="C260" s="184">
        <v>0</v>
      </c>
      <c r="D260" s="184"/>
      <c r="E260" s="184">
        <v>0</v>
      </c>
      <c r="F260" s="184"/>
      <c r="G260" s="184">
        <v>0</v>
      </c>
      <c r="H260" s="184"/>
    </row>
    <row r="261" spans="1:8" x14ac:dyDescent="0.25">
      <c r="A261" s="276"/>
      <c r="B261" s="71" t="s">
        <v>275</v>
      </c>
      <c r="C261" s="184">
        <v>0</v>
      </c>
      <c r="D261" s="184"/>
      <c r="E261" s="184">
        <v>0</v>
      </c>
      <c r="F261" s="184"/>
      <c r="G261" s="184">
        <v>0</v>
      </c>
      <c r="H261" s="184"/>
    </row>
    <row r="262" spans="1:8" x14ac:dyDescent="0.25">
      <c r="A262" s="171"/>
      <c r="B262" s="71" t="s">
        <v>586</v>
      </c>
      <c r="C262" s="184">
        <v>0</v>
      </c>
      <c r="D262" s="184"/>
      <c r="E262" s="184">
        <v>0</v>
      </c>
      <c r="F262" s="184"/>
      <c r="G262" s="184">
        <v>0</v>
      </c>
      <c r="H262" s="184"/>
    </row>
    <row r="263" spans="1:8" x14ac:dyDescent="0.25">
      <c r="A263" s="171"/>
      <c r="B263" s="71" t="s">
        <v>587</v>
      </c>
      <c r="C263" s="184">
        <v>0</v>
      </c>
      <c r="D263" s="184"/>
      <c r="E263" s="184">
        <v>0</v>
      </c>
      <c r="F263" s="184"/>
      <c r="G263" s="184">
        <v>0</v>
      </c>
      <c r="H263" s="184"/>
    </row>
    <row r="264" spans="1:8" x14ac:dyDescent="0.25">
      <c r="A264" s="171"/>
      <c r="B264" s="71" t="s">
        <v>588</v>
      </c>
      <c r="C264" s="184">
        <v>0</v>
      </c>
      <c r="D264" s="184"/>
      <c r="E264" s="184">
        <v>0</v>
      </c>
      <c r="F264" s="184"/>
      <c r="G264" s="184">
        <v>0</v>
      </c>
      <c r="H264" s="184"/>
    </row>
    <row r="265" spans="1:8" x14ac:dyDescent="0.25">
      <c r="A265" s="273" t="s">
        <v>277</v>
      </c>
      <c r="B265" s="274"/>
      <c r="C265" s="180">
        <v>8061</v>
      </c>
      <c r="D265" s="180"/>
      <c r="E265" s="180">
        <v>82425</v>
      </c>
      <c r="F265" s="180"/>
      <c r="G265" s="180">
        <v>1342889</v>
      </c>
      <c r="H265" s="180"/>
    </row>
  </sheetData>
  <mergeCells count="16">
    <mergeCell ref="A265:B265"/>
    <mergeCell ref="A1:A3"/>
    <mergeCell ref="B1:B3"/>
    <mergeCell ref="C1:D2"/>
    <mergeCell ref="A236:A261"/>
    <mergeCell ref="A207:A232"/>
    <mergeCell ref="E1:H1"/>
    <mergeCell ref="E2:F2"/>
    <mergeCell ref="G2:H2"/>
    <mergeCell ref="A149:A174"/>
    <mergeCell ref="A178:A203"/>
    <mergeCell ref="A33:A58"/>
    <mergeCell ref="A62:A87"/>
    <mergeCell ref="A91:A116"/>
    <mergeCell ref="A120:A145"/>
    <mergeCell ref="A4:A3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2" sqref="C2"/>
    </sheetView>
  </sheetViews>
  <sheetFormatPr defaultRowHeight="15" x14ac:dyDescent="0.25"/>
  <cols>
    <col min="1" max="1" width="42.7109375" customWidth="1"/>
    <col min="2" max="2" width="17.5703125" customWidth="1"/>
    <col min="3" max="6" width="25.5703125" customWidth="1"/>
  </cols>
  <sheetData>
    <row r="1" spans="1:6" ht="36.6" customHeight="1" x14ac:dyDescent="0.25">
      <c r="A1" s="287" t="s">
        <v>247</v>
      </c>
      <c r="B1" s="289" t="s">
        <v>590</v>
      </c>
      <c r="C1" s="290" t="s">
        <v>278</v>
      </c>
      <c r="D1" s="290"/>
      <c r="E1" s="290" t="s">
        <v>279</v>
      </c>
      <c r="F1" s="291"/>
    </row>
    <row r="2" spans="1:6" ht="36.6" customHeight="1" x14ac:dyDescent="0.25">
      <c r="A2" s="288"/>
      <c r="B2" s="268"/>
      <c r="C2" s="191" t="s">
        <v>370</v>
      </c>
      <c r="D2" s="191" t="s">
        <v>575</v>
      </c>
      <c r="E2" s="191" t="s">
        <v>227</v>
      </c>
      <c r="F2" s="192" t="s">
        <v>575</v>
      </c>
    </row>
    <row r="3" spans="1:6" x14ac:dyDescent="0.25">
      <c r="A3" s="292" t="s">
        <v>280</v>
      </c>
      <c r="B3" s="71" t="s">
        <v>281</v>
      </c>
      <c r="C3" s="184"/>
      <c r="D3" s="185"/>
      <c r="E3" s="184"/>
      <c r="F3" s="186"/>
    </row>
    <row r="4" spans="1:6" x14ac:dyDescent="0.25">
      <c r="A4" s="292"/>
      <c r="B4" s="71" t="s">
        <v>282</v>
      </c>
      <c r="C4" s="184"/>
      <c r="D4" s="185"/>
      <c r="E4" s="184"/>
      <c r="F4" s="186"/>
    </row>
    <row r="5" spans="1:6" x14ac:dyDescent="0.25">
      <c r="A5" s="292" t="s">
        <v>283</v>
      </c>
      <c r="B5" s="71" t="s">
        <v>281</v>
      </c>
      <c r="C5" s="184"/>
      <c r="D5" s="185"/>
      <c r="E5" s="184"/>
      <c r="F5" s="186"/>
    </row>
    <row r="6" spans="1:6" x14ac:dyDescent="0.25">
      <c r="A6" s="292"/>
      <c r="B6" s="71" t="s">
        <v>282</v>
      </c>
      <c r="C6" s="184"/>
      <c r="D6" s="185"/>
      <c r="E6" s="184"/>
      <c r="F6" s="186"/>
    </row>
    <row r="7" spans="1:6" x14ac:dyDescent="0.25">
      <c r="A7" s="292" t="s">
        <v>284</v>
      </c>
      <c r="B7" s="71" t="s">
        <v>281</v>
      </c>
      <c r="C7" s="184"/>
      <c r="D7" s="185"/>
      <c r="E7" s="184"/>
      <c r="F7" s="186"/>
    </row>
    <row r="8" spans="1:6" x14ac:dyDescent="0.25">
      <c r="A8" s="292"/>
      <c r="B8" s="71" t="s">
        <v>282</v>
      </c>
      <c r="C8" s="184"/>
      <c r="D8" s="185"/>
      <c r="E8" s="184"/>
      <c r="F8" s="186"/>
    </row>
    <row r="9" spans="1:6" x14ac:dyDescent="0.25">
      <c r="A9" s="292" t="s">
        <v>285</v>
      </c>
      <c r="B9" s="71" t="s">
        <v>281</v>
      </c>
      <c r="C9" s="184"/>
      <c r="D9" s="185"/>
      <c r="E9" s="184"/>
      <c r="F9" s="186"/>
    </row>
    <row r="10" spans="1:6" x14ac:dyDescent="0.25">
      <c r="A10" s="292"/>
      <c r="B10" s="71" t="s">
        <v>282</v>
      </c>
      <c r="C10" s="184"/>
      <c r="D10" s="185"/>
      <c r="E10" s="184"/>
      <c r="F10" s="186"/>
    </row>
    <row r="11" spans="1:6" x14ac:dyDescent="0.25">
      <c r="A11" s="292" t="s">
        <v>286</v>
      </c>
      <c r="B11" s="71" t="s">
        <v>281</v>
      </c>
      <c r="C11" s="184"/>
      <c r="D11" s="185"/>
      <c r="E11" s="184"/>
      <c r="F11" s="186"/>
    </row>
    <row r="12" spans="1:6" x14ac:dyDescent="0.25">
      <c r="A12" s="292"/>
      <c r="B12" s="71" t="s">
        <v>282</v>
      </c>
      <c r="C12" s="184"/>
      <c r="D12" s="185"/>
      <c r="E12" s="184"/>
      <c r="F12" s="186"/>
    </row>
    <row r="13" spans="1:6" x14ac:dyDescent="0.25">
      <c r="A13" s="292" t="s">
        <v>287</v>
      </c>
      <c r="B13" s="71" t="s">
        <v>281</v>
      </c>
      <c r="C13" s="184"/>
      <c r="D13" s="185"/>
      <c r="E13" s="184"/>
      <c r="F13" s="186"/>
    </row>
    <row r="14" spans="1:6" x14ac:dyDescent="0.25">
      <c r="A14" s="292"/>
      <c r="B14" s="71" t="s">
        <v>282</v>
      </c>
      <c r="C14" s="184"/>
      <c r="D14" s="185"/>
      <c r="E14" s="184"/>
      <c r="F14" s="186"/>
    </row>
    <row r="15" spans="1:6" x14ac:dyDescent="0.25">
      <c r="A15" s="292" t="s">
        <v>288</v>
      </c>
      <c r="B15" s="71" t="s">
        <v>281</v>
      </c>
      <c r="C15" s="184"/>
      <c r="D15" s="185"/>
      <c r="E15" s="184"/>
      <c r="F15" s="186"/>
    </row>
    <row r="16" spans="1:6" x14ac:dyDescent="0.25">
      <c r="A16" s="292"/>
      <c r="B16" s="71" t="s">
        <v>282</v>
      </c>
      <c r="C16" s="184"/>
      <c r="D16" s="185"/>
      <c r="E16" s="184"/>
      <c r="F16" s="186"/>
    </row>
    <row r="17" spans="1:6" x14ac:dyDescent="0.25">
      <c r="A17" s="292" t="s">
        <v>289</v>
      </c>
      <c r="B17" s="71" t="s">
        <v>281</v>
      </c>
      <c r="C17" s="184"/>
      <c r="D17" s="185"/>
      <c r="E17" s="184"/>
      <c r="F17" s="186"/>
    </row>
    <row r="18" spans="1:6" x14ac:dyDescent="0.25">
      <c r="A18" s="292"/>
      <c r="B18" s="71" t="s">
        <v>282</v>
      </c>
      <c r="C18" s="184"/>
      <c r="D18" s="185"/>
      <c r="E18" s="184"/>
      <c r="F18" s="186"/>
    </row>
    <row r="19" spans="1:6" x14ac:dyDescent="0.25">
      <c r="A19" s="286" t="s">
        <v>501</v>
      </c>
      <c r="B19" s="71" t="s">
        <v>281</v>
      </c>
      <c r="C19" s="184"/>
      <c r="D19" s="185"/>
      <c r="E19" s="184"/>
      <c r="F19" s="186"/>
    </row>
    <row r="20" spans="1:6" x14ac:dyDescent="0.25">
      <c r="A20" s="286"/>
      <c r="B20" s="71" t="s">
        <v>282</v>
      </c>
      <c r="C20" s="184"/>
      <c r="D20" s="185"/>
      <c r="E20" s="184"/>
      <c r="F20" s="186"/>
    </row>
    <row r="21" spans="1:6" x14ac:dyDescent="0.25">
      <c r="A21" s="277" t="s">
        <v>112</v>
      </c>
      <c r="B21" s="279" t="s">
        <v>281</v>
      </c>
      <c r="C21" s="187"/>
      <c r="D21" s="187"/>
      <c r="E21" s="187"/>
      <c r="F21" s="188">
        <f>SUM(F3,F5,F7,F9,F11,F13,F15,F19)</f>
        <v>0</v>
      </c>
    </row>
    <row r="22" spans="1:6" x14ac:dyDescent="0.25">
      <c r="A22" s="277"/>
      <c r="B22" s="279"/>
      <c r="C22" s="280" t="s">
        <v>290</v>
      </c>
      <c r="D22" s="281"/>
      <c r="E22" s="281"/>
      <c r="F22" s="282"/>
    </row>
    <row r="23" spans="1:6" x14ac:dyDescent="0.25">
      <c r="A23" s="277"/>
      <c r="B23" s="279" t="s">
        <v>282</v>
      </c>
      <c r="C23" s="72">
        <f>SUM(C4,C6,C8,C10,C12,C14,C16,C20)</f>
        <v>0</v>
      </c>
      <c r="D23" s="72">
        <f>SUM(D4,D6,D8,D10,D12,D14,D16,D20)</f>
        <v>0</v>
      </c>
      <c r="E23" s="72">
        <f>SUM(E4,E6,E8,E10,E12,E14,E16,E20)</f>
        <v>0</v>
      </c>
      <c r="F23" s="73">
        <f>SUM(F4,F6,F8,F10,F12,F14,F16,F20)</f>
        <v>0</v>
      </c>
    </row>
    <row r="24" spans="1:6" ht="15.75" thickBot="1" x14ac:dyDescent="0.3">
      <c r="A24" s="278"/>
      <c r="B24" s="283"/>
      <c r="C24" s="284" t="s">
        <v>291</v>
      </c>
      <c r="D24" s="284"/>
      <c r="E24" s="284"/>
      <c r="F24" s="285"/>
    </row>
  </sheetData>
  <mergeCells count="18">
    <mergeCell ref="A19:A20"/>
    <mergeCell ref="A1:A2"/>
    <mergeCell ref="B1:B2"/>
    <mergeCell ref="C1:D1"/>
    <mergeCell ref="E1:F1"/>
    <mergeCell ref="A3:A4"/>
    <mergeCell ref="A5:A6"/>
    <mergeCell ref="A7:A8"/>
    <mergeCell ref="A9:A10"/>
    <mergeCell ref="A11:A12"/>
    <mergeCell ref="A13:A14"/>
    <mergeCell ref="A15:A16"/>
    <mergeCell ref="A17:A18"/>
    <mergeCell ref="A21:A24"/>
    <mergeCell ref="B21:B22"/>
    <mergeCell ref="C22:F22"/>
    <mergeCell ref="B23:B24"/>
    <mergeCell ref="C24:F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2"/>
  <sheetViews>
    <sheetView workbookViewId="0">
      <selection activeCell="D12" sqref="D12"/>
    </sheetView>
  </sheetViews>
  <sheetFormatPr defaultRowHeight="15" x14ac:dyDescent="0.25"/>
  <cols>
    <col min="4" max="4" width="44.85546875" customWidth="1"/>
  </cols>
  <sheetData>
    <row r="3" spans="4:6" ht="15.75" thickBot="1" x14ac:dyDescent="0.3"/>
    <row r="4" spans="4:6" s="77" customFormat="1" x14ac:dyDescent="0.25">
      <c r="D4" s="194" t="s">
        <v>304</v>
      </c>
      <c r="E4" s="212" t="s">
        <v>227</v>
      </c>
      <c r="F4" s="213" t="s">
        <v>575</v>
      </c>
    </row>
    <row r="5" spans="4:6" s="77" customFormat="1" x14ac:dyDescent="0.25">
      <c r="D5" s="75" t="s">
        <v>303</v>
      </c>
      <c r="E5" s="81"/>
      <c r="F5" s="78"/>
    </row>
    <row r="6" spans="4:6" s="77" customFormat="1" x14ac:dyDescent="0.25">
      <c r="D6" s="75" t="s">
        <v>302</v>
      </c>
      <c r="E6" s="81"/>
      <c r="F6" s="78"/>
    </row>
    <row r="7" spans="4:6" s="77" customFormat="1" x14ac:dyDescent="0.25">
      <c r="D7" s="75" t="s">
        <v>301</v>
      </c>
      <c r="E7" s="81"/>
      <c r="F7" s="78"/>
    </row>
    <row r="8" spans="4:6" s="77" customFormat="1" x14ac:dyDescent="0.25">
      <c r="D8" s="75" t="s">
        <v>300</v>
      </c>
      <c r="E8" s="81"/>
      <c r="F8" s="78"/>
    </row>
    <row r="9" spans="4:6" s="82" customFormat="1" ht="25.5" x14ac:dyDescent="0.25">
      <c r="D9" s="84" t="s">
        <v>299</v>
      </c>
      <c r="E9" s="83"/>
      <c r="F9" s="78"/>
    </row>
    <row r="10" spans="4:6" s="77" customFormat="1" x14ac:dyDescent="0.25">
      <c r="D10" s="75" t="s">
        <v>298</v>
      </c>
      <c r="E10" s="81"/>
      <c r="F10" s="78"/>
    </row>
    <row r="11" spans="4:6" s="77" customFormat="1" x14ac:dyDescent="0.25">
      <c r="D11" s="75" t="s">
        <v>297</v>
      </c>
      <c r="E11" s="81"/>
      <c r="F11" s="78"/>
    </row>
    <row r="12" spans="4:6" s="77" customFormat="1" ht="15.75" thickBot="1" x14ac:dyDescent="0.3">
      <c r="D12" s="80" t="s">
        <v>645</v>
      </c>
      <c r="E12" s="79"/>
      <c r="F12" s="7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38"/>
  <sheetViews>
    <sheetView zoomScale="70" zoomScaleNormal="70" workbookViewId="0">
      <selection activeCell="A22" sqref="A22"/>
    </sheetView>
  </sheetViews>
  <sheetFormatPr defaultColWidth="8.85546875" defaultRowHeight="12.75" x14ac:dyDescent="0.2"/>
  <cols>
    <col min="1" max="1" width="26.5703125" style="85" customWidth="1"/>
    <col min="2" max="2" width="12.28515625" style="13" customWidth="1"/>
    <col min="3" max="4" width="8.85546875" style="13"/>
    <col min="5" max="5" width="26.28515625" style="13" customWidth="1"/>
    <col min="6" max="13" width="8.85546875" style="13"/>
    <col min="14" max="14" width="29" style="13" customWidth="1"/>
    <col min="15" max="16" width="23.28515625" style="13" customWidth="1"/>
    <col min="17" max="17" width="18.5703125" style="13" customWidth="1"/>
    <col min="18" max="19" width="15.28515625" style="13" customWidth="1"/>
    <col min="20" max="20" width="16.7109375" style="13" customWidth="1"/>
    <col min="21" max="23" width="8.85546875" style="13"/>
    <col min="24" max="24" width="17.28515625" style="13" customWidth="1"/>
    <col min="25" max="16384" width="8.85546875" style="13"/>
  </cols>
  <sheetData>
    <row r="5" spans="1:3" ht="25.5" x14ac:dyDescent="0.2">
      <c r="A5" s="183" t="s">
        <v>314</v>
      </c>
      <c r="B5" s="187" t="s">
        <v>575</v>
      </c>
      <c r="C5" s="187" t="s">
        <v>313</v>
      </c>
    </row>
    <row r="6" spans="1:3" ht="51" x14ac:dyDescent="0.2">
      <c r="A6" s="141" t="s">
        <v>578</v>
      </c>
      <c r="B6" s="87"/>
      <c r="C6" s="86" t="e">
        <f>B6/B23</f>
        <v>#DIV/0!</v>
      </c>
    </row>
    <row r="7" spans="1:3" x14ac:dyDescent="0.2">
      <c r="A7" s="141" t="s">
        <v>312</v>
      </c>
      <c r="B7" s="87"/>
      <c r="C7" s="86" t="e">
        <f>B7/B23</f>
        <v>#DIV/0!</v>
      </c>
    </row>
    <row r="8" spans="1:3" x14ac:dyDescent="0.2">
      <c r="A8" s="141" t="s">
        <v>311</v>
      </c>
      <c r="B8" s="87"/>
      <c r="C8" s="86" t="e">
        <f>B8/B23</f>
        <v>#DIV/0!</v>
      </c>
    </row>
    <row r="9" spans="1:3" ht="114.75" x14ac:dyDescent="0.2">
      <c r="A9" s="141" t="s">
        <v>646</v>
      </c>
      <c r="B9" s="87"/>
      <c r="C9" s="86" t="e">
        <f>B9/B23</f>
        <v>#DIV/0!</v>
      </c>
    </row>
    <row r="10" spans="1:3" ht="25.5" x14ac:dyDescent="0.2">
      <c r="A10" s="141" t="s">
        <v>310</v>
      </c>
      <c r="B10" s="87"/>
      <c r="C10" s="86" t="e">
        <f>B10/B23</f>
        <v>#DIV/0!</v>
      </c>
    </row>
    <row r="11" spans="1:3" ht="63.75" x14ac:dyDescent="0.2">
      <c r="A11" s="141" t="s">
        <v>309</v>
      </c>
      <c r="B11" s="87"/>
      <c r="C11" s="86" t="e">
        <f>B11/B23</f>
        <v>#DIV/0!</v>
      </c>
    </row>
    <row r="12" spans="1:3" ht="76.5" x14ac:dyDescent="0.2">
      <c r="A12" s="141" t="s">
        <v>579</v>
      </c>
      <c r="B12" s="87"/>
      <c r="C12" s="86" t="e">
        <f>B12/B23</f>
        <v>#DIV/0!</v>
      </c>
    </row>
    <row r="13" spans="1:3" ht="63.75" x14ac:dyDescent="0.2">
      <c r="A13" s="141" t="s">
        <v>638</v>
      </c>
      <c r="B13" s="87"/>
      <c r="C13" s="86" t="e">
        <f>B13/B23</f>
        <v>#DIV/0!</v>
      </c>
    </row>
    <row r="14" spans="1:3" ht="114.75" x14ac:dyDescent="0.2">
      <c r="A14" s="141" t="s">
        <v>580</v>
      </c>
      <c r="B14" s="87"/>
      <c r="C14" s="86" t="e">
        <f>B14/B23</f>
        <v>#DIV/0!</v>
      </c>
    </row>
    <row r="15" spans="1:3" ht="38.25" x14ac:dyDescent="0.2">
      <c r="A15" s="141" t="s">
        <v>308</v>
      </c>
      <c r="B15" s="87"/>
      <c r="C15" s="86" t="e">
        <f>B15/B23</f>
        <v>#DIV/0!</v>
      </c>
    </row>
    <row r="16" spans="1:3" ht="76.5" x14ac:dyDescent="0.2">
      <c r="A16" s="141" t="s">
        <v>639</v>
      </c>
      <c r="B16" s="87"/>
      <c r="C16" s="86" t="e">
        <f>B16/B23</f>
        <v>#DIV/0!</v>
      </c>
    </row>
    <row r="17" spans="1:3" ht="51" x14ac:dyDescent="0.2">
      <c r="A17" s="141" t="s">
        <v>307</v>
      </c>
      <c r="B17" s="87"/>
      <c r="C17" s="86" t="e">
        <f>B17/B23</f>
        <v>#DIV/0!</v>
      </c>
    </row>
    <row r="18" spans="1:3" ht="76.5" x14ac:dyDescent="0.2">
      <c r="A18" s="141" t="s">
        <v>591</v>
      </c>
      <c r="B18" s="87"/>
      <c r="C18" s="86" t="e">
        <f>B18/B23</f>
        <v>#DIV/0!</v>
      </c>
    </row>
    <row r="19" spans="1:3" ht="89.25" x14ac:dyDescent="0.2">
      <c r="A19" s="141" t="s">
        <v>306</v>
      </c>
      <c r="B19" s="87"/>
      <c r="C19" s="86" t="e">
        <f>B19/B23</f>
        <v>#DIV/0!</v>
      </c>
    </row>
    <row r="20" spans="1:3" ht="63.75" x14ac:dyDescent="0.2">
      <c r="A20" s="141" t="s">
        <v>592</v>
      </c>
      <c r="B20" s="87"/>
      <c r="C20" s="86" t="e">
        <f>B20/B23</f>
        <v>#DIV/0!</v>
      </c>
    </row>
    <row r="21" spans="1:3" x14ac:dyDescent="0.2">
      <c r="A21" s="141" t="s">
        <v>305</v>
      </c>
      <c r="B21" s="87"/>
      <c r="C21" s="86" t="e">
        <f>B21/B23</f>
        <v>#DIV/0!</v>
      </c>
    </row>
    <row r="22" spans="1:3" ht="51" x14ac:dyDescent="0.2">
      <c r="A22" s="141" t="s">
        <v>593</v>
      </c>
      <c r="B22" s="87"/>
      <c r="C22" s="86" t="e">
        <f>B22/B23</f>
        <v>#DIV/0!</v>
      </c>
    </row>
    <row r="23" spans="1:3" x14ac:dyDescent="0.2">
      <c r="A23" s="183" t="s">
        <v>276</v>
      </c>
      <c r="B23" s="189">
        <f>SUM(B6:B22)</f>
        <v>0</v>
      </c>
      <c r="C23" s="195" t="e">
        <f>SUM(C6:C22)</f>
        <v>#DIV/0!</v>
      </c>
    </row>
    <row r="24" spans="1:3" x14ac:dyDescent="0.2">
      <c r="A24" s="139"/>
    </row>
    <row r="25" spans="1:3" x14ac:dyDescent="0.2">
      <c r="A25" s="139"/>
    </row>
    <row r="26" spans="1:3" x14ac:dyDescent="0.2">
      <c r="A26" s="139"/>
    </row>
    <row r="27" spans="1:3" x14ac:dyDescent="0.2">
      <c r="A27" s="139"/>
    </row>
    <row r="28" spans="1:3" x14ac:dyDescent="0.2">
      <c r="A28" s="139"/>
    </row>
    <row r="29" spans="1:3" x14ac:dyDescent="0.2">
      <c r="A29" s="139"/>
    </row>
    <row r="30" spans="1:3" x14ac:dyDescent="0.2">
      <c r="A30" s="139"/>
    </row>
    <row r="31" spans="1:3" x14ac:dyDescent="0.2">
      <c r="A31" s="139"/>
    </row>
    <row r="32" spans="1:3" x14ac:dyDescent="0.2">
      <c r="A32" s="139"/>
    </row>
    <row r="33" spans="1:1" x14ac:dyDescent="0.2">
      <c r="A33" s="139"/>
    </row>
    <row r="34" spans="1:1" x14ac:dyDescent="0.2">
      <c r="A34" s="139"/>
    </row>
    <row r="35" spans="1:1" x14ac:dyDescent="0.2">
      <c r="A35" s="139"/>
    </row>
    <row r="36" spans="1:1" x14ac:dyDescent="0.2">
      <c r="A36" s="139"/>
    </row>
    <row r="37" spans="1:1" x14ac:dyDescent="0.2">
      <c r="A37" s="139"/>
    </row>
    <row r="38" spans="1:1" x14ac:dyDescent="0.2">
      <c r="A38" s="139"/>
    </row>
    <row r="39" spans="1:1" x14ac:dyDescent="0.2">
      <c r="A39" s="139"/>
    </row>
    <row r="40" spans="1:1" x14ac:dyDescent="0.2">
      <c r="A40" s="139"/>
    </row>
    <row r="41" spans="1:1" x14ac:dyDescent="0.2">
      <c r="A41" s="139"/>
    </row>
    <row r="42" spans="1:1" x14ac:dyDescent="0.2">
      <c r="A42" s="139"/>
    </row>
    <row r="43" spans="1:1" x14ac:dyDescent="0.2">
      <c r="A43" s="139"/>
    </row>
    <row r="44" spans="1:1" x14ac:dyDescent="0.2">
      <c r="A44" s="139"/>
    </row>
    <row r="45" spans="1:1" x14ac:dyDescent="0.2">
      <c r="A45" s="139"/>
    </row>
    <row r="46" spans="1:1" x14ac:dyDescent="0.2">
      <c r="A46" s="139"/>
    </row>
    <row r="47" spans="1:1" x14ac:dyDescent="0.2">
      <c r="A47" s="139"/>
    </row>
    <row r="48" spans="1:1" x14ac:dyDescent="0.2">
      <c r="A48" s="139"/>
    </row>
    <row r="49" spans="1:1" x14ac:dyDescent="0.2">
      <c r="A49" s="139"/>
    </row>
    <row r="50" spans="1:1" x14ac:dyDescent="0.2">
      <c r="A50" s="139"/>
    </row>
    <row r="51" spans="1:1" x14ac:dyDescent="0.2">
      <c r="A51" s="139"/>
    </row>
    <row r="52" spans="1:1" x14ac:dyDescent="0.2">
      <c r="A52" s="139"/>
    </row>
    <row r="53" spans="1:1" x14ac:dyDescent="0.2">
      <c r="A53" s="139"/>
    </row>
    <row r="54" spans="1:1" x14ac:dyDescent="0.2">
      <c r="A54" s="139"/>
    </row>
    <row r="55" spans="1:1" x14ac:dyDescent="0.2">
      <c r="A55" s="139"/>
    </row>
    <row r="56" spans="1:1" x14ac:dyDescent="0.2">
      <c r="A56" s="139"/>
    </row>
    <row r="57" spans="1:1" x14ac:dyDescent="0.2">
      <c r="A57" s="139"/>
    </row>
    <row r="58" spans="1:1" x14ac:dyDescent="0.2">
      <c r="A58" s="139"/>
    </row>
    <row r="59" spans="1:1" x14ac:dyDescent="0.2">
      <c r="A59" s="139"/>
    </row>
    <row r="60" spans="1:1" x14ac:dyDescent="0.2">
      <c r="A60" s="139"/>
    </row>
    <row r="61" spans="1:1" x14ac:dyDescent="0.2">
      <c r="A61" s="139"/>
    </row>
    <row r="62" spans="1:1" x14ac:dyDescent="0.2">
      <c r="A62" s="139"/>
    </row>
    <row r="63" spans="1:1" x14ac:dyDescent="0.2">
      <c r="A63" s="139"/>
    </row>
    <row r="64" spans="1:1" x14ac:dyDescent="0.2">
      <c r="A64" s="139"/>
    </row>
    <row r="65" spans="1:1" x14ac:dyDescent="0.2">
      <c r="A65" s="139"/>
    </row>
    <row r="66" spans="1:1" x14ac:dyDescent="0.2">
      <c r="A66" s="139"/>
    </row>
    <row r="67" spans="1:1" x14ac:dyDescent="0.2">
      <c r="A67" s="139"/>
    </row>
    <row r="68" spans="1:1" x14ac:dyDescent="0.2">
      <c r="A68" s="139"/>
    </row>
    <row r="69" spans="1:1" x14ac:dyDescent="0.2">
      <c r="A69" s="139"/>
    </row>
    <row r="70" spans="1:1" x14ac:dyDescent="0.2">
      <c r="A70" s="139"/>
    </row>
    <row r="71" spans="1:1" x14ac:dyDescent="0.2">
      <c r="A71" s="139"/>
    </row>
    <row r="72" spans="1:1" x14ac:dyDescent="0.2">
      <c r="A72" s="139"/>
    </row>
    <row r="73" spans="1:1" x14ac:dyDescent="0.2">
      <c r="A73" s="139"/>
    </row>
    <row r="74" spans="1:1" x14ac:dyDescent="0.2">
      <c r="A74" s="139"/>
    </row>
    <row r="75" spans="1:1" x14ac:dyDescent="0.2">
      <c r="A75" s="139"/>
    </row>
    <row r="76" spans="1:1" x14ac:dyDescent="0.2">
      <c r="A76" s="139"/>
    </row>
    <row r="77" spans="1:1" x14ac:dyDescent="0.2">
      <c r="A77" s="139"/>
    </row>
    <row r="78" spans="1:1" x14ac:dyDescent="0.2">
      <c r="A78" s="139"/>
    </row>
    <row r="79" spans="1:1" x14ac:dyDescent="0.2">
      <c r="A79" s="139"/>
    </row>
    <row r="80" spans="1:1" x14ac:dyDescent="0.2">
      <c r="A80" s="139"/>
    </row>
    <row r="81" spans="1:1" x14ac:dyDescent="0.2">
      <c r="A81" s="139"/>
    </row>
    <row r="82" spans="1:1" x14ac:dyDescent="0.2">
      <c r="A82" s="139"/>
    </row>
    <row r="83" spans="1:1" x14ac:dyDescent="0.2">
      <c r="A83" s="139"/>
    </row>
    <row r="84" spans="1:1" x14ac:dyDescent="0.2">
      <c r="A84" s="139"/>
    </row>
    <row r="85" spans="1:1" x14ac:dyDescent="0.2">
      <c r="A85" s="139"/>
    </row>
    <row r="86" spans="1:1" x14ac:dyDescent="0.2">
      <c r="A86" s="139"/>
    </row>
    <row r="87" spans="1:1" x14ac:dyDescent="0.2">
      <c r="A87" s="139"/>
    </row>
    <row r="88" spans="1:1" x14ac:dyDescent="0.2">
      <c r="A88" s="139"/>
    </row>
    <row r="89" spans="1:1" x14ac:dyDescent="0.2">
      <c r="A89" s="139"/>
    </row>
    <row r="90" spans="1:1" x14ac:dyDescent="0.2">
      <c r="A90" s="139"/>
    </row>
    <row r="91" spans="1:1" x14ac:dyDescent="0.2">
      <c r="A91" s="139"/>
    </row>
    <row r="92" spans="1:1" x14ac:dyDescent="0.2">
      <c r="A92" s="139"/>
    </row>
    <row r="93" spans="1:1" x14ac:dyDescent="0.2">
      <c r="A93" s="139"/>
    </row>
    <row r="94" spans="1:1" x14ac:dyDescent="0.2">
      <c r="A94" s="139"/>
    </row>
    <row r="95" spans="1:1" x14ac:dyDescent="0.2">
      <c r="A95" s="139"/>
    </row>
    <row r="96" spans="1:1" x14ac:dyDescent="0.2">
      <c r="A96" s="139"/>
    </row>
    <row r="97" spans="1:1" x14ac:dyDescent="0.2">
      <c r="A97" s="139"/>
    </row>
    <row r="98" spans="1:1" x14ac:dyDescent="0.2">
      <c r="A98" s="139"/>
    </row>
    <row r="99" spans="1:1" x14ac:dyDescent="0.2">
      <c r="A99" s="139"/>
    </row>
    <row r="100" spans="1:1" x14ac:dyDescent="0.2">
      <c r="A100" s="139"/>
    </row>
    <row r="101" spans="1:1" x14ac:dyDescent="0.2">
      <c r="A101" s="139"/>
    </row>
    <row r="102" spans="1:1" x14ac:dyDescent="0.2">
      <c r="A102" s="139"/>
    </row>
    <row r="103" spans="1:1" x14ac:dyDescent="0.2">
      <c r="A103" s="139"/>
    </row>
    <row r="104" spans="1:1" x14ac:dyDescent="0.2">
      <c r="A104" s="139"/>
    </row>
    <row r="105" spans="1:1" x14ac:dyDescent="0.2">
      <c r="A105" s="139"/>
    </row>
    <row r="106" spans="1:1" x14ac:dyDescent="0.2">
      <c r="A106" s="139"/>
    </row>
    <row r="107" spans="1:1" x14ac:dyDescent="0.2">
      <c r="A107" s="139"/>
    </row>
    <row r="108" spans="1:1" x14ac:dyDescent="0.2">
      <c r="A108" s="139"/>
    </row>
    <row r="109" spans="1:1" x14ac:dyDescent="0.2">
      <c r="A109" s="139"/>
    </row>
    <row r="110" spans="1:1" x14ac:dyDescent="0.2">
      <c r="A110" s="139"/>
    </row>
    <row r="111" spans="1:1" x14ac:dyDescent="0.2">
      <c r="A111" s="139"/>
    </row>
    <row r="112" spans="1:1" x14ac:dyDescent="0.2">
      <c r="A112" s="139"/>
    </row>
    <row r="113" spans="1:1" x14ac:dyDescent="0.2">
      <c r="A113" s="139"/>
    </row>
    <row r="114" spans="1:1" x14ac:dyDescent="0.2">
      <c r="A114" s="139"/>
    </row>
    <row r="115" spans="1:1" x14ac:dyDescent="0.2">
      <c r="A115" s="139"/>
    </row>
    <row r="116" spans="1:1" x14ac:dyDescent="0.2">
      <c r="A116" s="139"/>
    </row>
    <row r="117" spans="1:1" x14ac:dyDescent="0.2">
      <c r="A117" s="139"/>
    </row>
    <row r="118" spans="1:1" x14ac:dyDescent="0.2">
      <c r="A118" s="139"/>
    </row>
    <row r="119" spans="1:1" x14ac:dyDescent="0.2">
      <c r="A119" s="139"/>
    </row>
    <row r="120" spans="1:1" x14ac:dyDescent="0.2">
      <c r="A120" s="139"/>
    </row>
    <row r="121" spans="1:1" x14ac:dyDescent="0.2">
      <c r="A121" s="139"/>
    </row>
    <row r="122" spans="1:1" x14ac:dyDescent="0.2">
      <c r="A122" s="139"/>
    </row>
    <row r="123" spans="1:1" x14ac:dyDescent="0.2">
      <c r="A123" s="139"/>
    </row>
    <row r="124" spans="1:1" x14ac:dyDescent="0.2">
      <c r="A124" s="139"/>
    </row>
    <row r="125" spans="1:1" x14ac:dyDescent="0.2">
      <c r="A125" s="139"/>
    </row>
    <row r="126" spans="1:1" x14ac:dyDescent="0.2">
      <c r="A126" s="139"/>
    </row>
    <row r="127" spans="1:1" x14ac:dyDescent="0.2">
      <c r="A127" s="139"/>
    </row>
    <row r="128" spans="1:1" x14ac:dyDescent="0.2">
      <c r="A128" s="139"/>
    </row>
    <row r="129" spans="1:1" x14ac:dyDescent="0.2">
      <c r="A129" s="139"/>
    </row>
    <row r="130" spans="1:1" x14ac:dyDescent="0.2">
      <c r="A130" s="139"/>
    </row>
    <row r="131" spans="1:1" x14ac:dyDescent="0.2">
      <c r="A131" s="139"/>
    </row>
    <row r="132" spans="1:1" x14ac:dyDescent="0.2">
      <c r="A132" s="139"/>
    </row>
    <row r="133" spans="1:1" x14ac:dyDescent="0.2">
      <c r="A133" s="139"/>
    </row>
    <row r="134" spans="1:1" x14ac:dyDescent="0.2">
      <c r="A134" s="139"/>
    </row>
    <row r="135" spans="1:1" x14ac:dyDescent="0.2">
      <c r="A135" s="139"/>
    </row>
    <row r="136" spans="1:1" x14ac:dyDescent="0.2">
      <c r="A136" s="139"/>
    </row>
    <row r="137" spans="1:1" x14ac:dyDescent="0.2">
      <c r="A137" s="139"/>
    </row>
    <row r="138" spans="1:1" x14ac:dyDescent="0.2">
      <c r="A138" s="1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workbookViewId="0">
      <selection activeCell="B6" sqref="A1:XFD1048576"/>
    </sheetView>
  </sheetViews>
  <sheetFormatPr defaultRowHeight="15" x14ac:dyDescent="0.25"/>
  <cols>
    <col min="2" max="2" width="29.85546875" customWidth="1"/>
    <col min="3" max="4" width="14.7109375" customWidth="1"/>
    <col min="17" max="17" width="35.5703125" customWidth="1"/>
  </cols>
  <sheetData>
    <row r="2" spans="2:20" x14ac:dyDescent="0.25">
      <c r="B2" s="268" t="s">
        <v>551</v>
      </c>
      <c r="C2" s="269" t="s">
        <v>327</v>
      </c>
      <c r="D2" s="269"/>
    </row>
    <row r="3" spans="2:20" x14ac:dyDescent="0.25">
      <c r="B3" s="268"/>
      <c r="C3" s="269"/>
      <c r="D3" s="269"/>
      <c r="O3" t="s">
        <v>326</v>
      </c>
    </row>
    <row r="4" spans="2:20" ht="24" customHeight="1" x14ac:dyDescent="0.25">
      <c r="B4" s="268"/>
      <c r="C4" s="191" t="s">
        <v>227</v>
      </c>
      <c r="D4" s="191" t="s">
        <v>575</v>
      </c>
    </row>
    <row r="5" spans="2:20" x14ac:dyDescent="0.25">
      <c r="B5" s="92" t="s">
        <v>594</v>
      </c>
      <c r="C5" s="65"/>
      <c r="D5" s="65"/>
    </row>
    <row r="6" spans="2:20" x14ac:dyDescent="0.25">
      <c r="B6" s="92" t="s">
        <v>595</v>
      </c>
      <c r="C6" s="65"/>
      <c r="D6" s="65"/>
    </row>
    <row r="7" spans="2:20" x14ac:dyDescent="0.25">
      <c r="B7" s="92" t="s">
        <v>325</v>
      </c>
      <c r="C7" s="65"/>
      <c r="D7" s="65"/>
    </row>
    <row r="8" spans="2:20" x14ac:dyDescent="0.25">
      <c r="B8" s="92" t="s">
        <v>324</v>
      </c>
      <c r="C8" s="65"/>
      <c r="D8" s="65"/>
    </row>
    <row r="9" spans="2:20" x14ac:dyDescent="0.25">
      <c r="B9" s="92" t="s">
        <v>323</v>
      </c>
      <c r="C9" s="65"/>
      <c r="D9" s="65"/>
    </row>
    <row r="10" spans="2:20" x14ac:dyDescent="0.25">
      <c r="B10" s="74" t="s">
        <v>322</v>
      </c>
      <c r="C10" s="91"/>
      <c r="D10" s="91">
        <f>SUM(D5:D9)</f>
        <v>0</v>
      </c>
      <c r="P10" s="93"/>
      <c r="Q10" s="95"/>
      <c r="R10" s="94"/>
      <c r="S10" s="94"/>
      <c r="T10" s="93"/>
    </row>
    <row r="11" spans="2:20" x14ac:dyDescent="0.25">
      <c r="B11" s="92" t="s">
        <v>321</v>
      </c>
      <c r="C11" s="65"/>
      <c r="D11" s="65"/>
    </row>
    <row r="12" spans="2:20" x14ac:dyDescent="0.25">
      <c r="B12" s="140" t="s">
        <v>552</v>
      </c>
      <c r="C12" s="65"/>
      <c r="D12" s="65"/>
    </row>
    <row r="13" spans="2:20" x14ac:dyDescent="0.25">
      <c r="B13" s="13"/>
      <c r="C13" s="13"/>
      <c r="D13" s="13"/>
    </row>
    <row r="14" spans="2:20" x14ac:dyDescent="0.25">
      <c r="B14" s="196" t="s">
        <v>320</v>
      </c>
      <c r="C14" s="191" t="s">
        <v>227</v>
      </c>
      <c r="D14" s="191" t="s">
        <v>575</v>
      </c>
    </row>
    <row r="15" spans="2:20" x14ac:dyDescent="0.25">
      <c r="B15" s="88" t="s">
        <v>319</v>
      </c>
      <c r="C15" s="65"/>
      <c r="D15" s="65"/>
    </row>
    <row r="16" spans="2:20" x14ac:dyDescent="0.25">
      <c r="B16" s="88" t="s">
        <v>318</v>
      </c>
      <c r="C16" s="65"/>
      <c r="D16" s="65"/>
    </row>
    <row r="17" spans="2:4" x14ac:dyDescent="0.25">
      <c r="B17" s="157" t="s">
        <v>553</v>
      </c>
      <c r="C17" s="155"/>
      <c r="D17" s="65"/>
    </row>
    <row r="18" spans="2:4" x14ac:dyDescent="0.25">
      <c r="B18" s="157" t="s">
        <v>554</v>
      </c>
      <c r="C18" s="155"/>
      <c r="D18" s="65"/>
    </row>
    <row r="19" spans="2:4" x14ac:dyDescent="0.25">
      <c r="B19" s="156" t="s">
        <v>317</v>
      </c>
      <c r="C19" s="65"/>
      <c r="D19" s="65"/>
    </row>
    <row r="20" spans="2:4" x14ac:dyDescent="0.25">
      <c r="B20" s="88" t="s">
        <v>316</v>
      </c>
      <c r="C20" s="65"/>
      <c r="D20" s="65"/>
    </row>
  </sheetData>
  <mergeCells count="2">
    <mergeCell ref="B2:B4"/>
    <mergeCell ref="C2:D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opLeftCell="A4" workbookViewId="0">
      <selection activeCell="C13" sqref="A1:XFD1048576"/>
    </sheetView>
  </sheetViews>
  <sheetFormatPr defaultRowHeight="15" x14ac:dyDescent="0.25"/>
  <cols>
    <col min="2" max="2" width="30.5703125" customWidth="1"/>
    <col min="3" max="4" width="12.5703125" customWidth="1"/>
  </cols>
  <sheetData>
    <row r="2" spans="2:4" x14ac:dyDescent="0.25">
      <c r="B2" s="268" t="s">
        <v>336</v>
      </c>
      <c r="C2" s="269" t="s">
        <v>327</v>
      </c>
      <c r="D2" s="269"/>
    </row>
    <row r="3" spans="2:4" x14ac:dyDescent="0.25">
      <c r="B3" s="268"/>
      <c r="C3" s="269"/>
      <c r="D3" s="269"/>
    </row>
    <row r="4" spans="2:4" x14ac:dyDescent="0.25">
      <c r="B4" s="268"/>
      <c r="C4" s="191" t="s">
        <v>227</v>
      </c>
      <c r="D4" s="191" t="s">
        <v>575</v>
      </c>
    </row>
    <row r="5" spans="2:4" x14ac:dyDescent="0.25">
      <c r="B5" s="98" t="s">
        <v>596</v>
      </c>
      <c r="C5" s="96"/>
      <c r="D5" s="96"/>
    </row>
    <row r="6" spans="2:4" x14ac:dyDescent="0.25">
      <c r="B6" s="98" t="s">
        <v>597</v>
      </c>
      <c r="C6" s="96"/>
      <c r="D6" s="96"/>
    </row>
    <row r="7" spans="2:4" x14ac:dyDescent="0.25">
      <c r="B7" s="98" t="s">
        <v>335</v>
      </c>
      <c r="C7" s="96"/>
      <c r="D7" s="96"/>
    </row>
    <row r="8" spans="2:4" x14ac:dyDescent="0.25">
      <c r="B8" s="98" t="s">
        <v>334</v>
      </c>
      <c r="C8" s="96"/>
      <c r="D8" s="96"/>
    </row>
    <row r="9" spans="2:4" x14ac:dyDescent="0.25">
      <c r="B9" s="98" t="s">
        <v>333</v>
      </c>
      <c r="C9" s="96"/>
      <c r="D9" s="96"/>
    </row>
    <row r="10" spans="2:4" x14ac:dyDescent="0.25">
      <c r="B10" s="74" t="s">
        <v>322</v>
      </c>
      <c r="C10" s="91"/>
      <c r="D10" s="91">
        <f>SUM(D5:D9)</f>
        <v>0</v>
      </c>
    </row>
    <row r="11" spans="2:4" x14ac:dyDescent="0.25">
      <c r="B11" s="98" t="s">
        <v>332</v>
      </c>
      <c r="C11" s="96"/>
      <c r="D11" s="96"/>
    </row>
    <row r="12" spans="2:4" x14ac:dyDescent="0.25">
      <c r="B12" s="13"/>
      <c r="C12" s="13"/>
      <c r="D12" s="13"/>
    </row>
    <row r="13" spans="2:4" ht="24" customHeight="1" x14ac:dyDescent="0.25"/>
    <row r="18" spans="2:4" x14ac:dyDescent="0.25">
      <c r="B18" s="193" t="s">
        <v>331</v>
      </c>
      <c r="C18" s="193" t="s">
        <v>227</v>
      </c>
      <c r="D18" s="193" t="s">
        <v>575</v>
      </c>
    </row>
    <row r="19" spans="2:4" x14ac:dyDescent="0.25">
      <c r="B19" s="97" t="s">
        <v>330</v>
      </c>
      <c r="C19" s="96"/>
      <c r="D19" s="96"/>
    </row>
    <row r="20" spans="2:4" x14ac:dyDescent="0.25">
      <c r="B20" s="97" t="s">
        <v>598</v>
      </c>
      <c r="C20" s="96"/>
      <c r="D20" s="96"/>
    </row>
    <row r="21" spans="2:4" x14ac:dyDescent="0.25">
      <c r="B21" s="97" t="s">
        <v>329</v>
      </c>
      <c r="C21" s="96"/>
      <c r="D21" s="96"/>
    </row>
    <row r="22" spans="2:4" x14ac:dyDescent="0.25">
      <c r="B22" s="97" t="s">
        <v>328</v>
      </c>
      <c r="C22" s="96"/>
      <c r="D22" s="96"/>
    </row>
  </sheetData>
  <mergeCells count="2">
    <mergeCell ref="B2:B4"/>
    <mergeCell ref="C2:D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3" sqref="C3:D4"/>
    </sheetView>
  </sheetViews>
  <sheetFormatPr defaultRowHeight="15" x14ac:dyDescent="0.25"/>
  <cols>
    <col min="2" max="2" width="30.28515625" customWidth="1"/>
    <col min="3" max="4" width="13.28515625" customWidth="1"/>
  </cols>
  <sheetData>
    <row r="3" spans="2:4" s="100" customFormat="1" ht="19.149999999999999" customHeight="1" x14ac:dyDescent="0.25">
      <c r="B3" s="268" t="s">
        <v>341</v>
      </c>
      <c r="C3" s="268" t="s">
        <v>559</v>
      </c>
      <c r="D3" s="268"/>
    </row>
    <row r="4" spans="2:4" s="100" customFormat="1" ht="19.149999999999999" customHeight="1" x14ac:dyDescent="0.25">
      <c r="B4" s="268"/>
      <c r="C4" s="268"/>
      <c r="D4" s="268"/>
    </row>
    <row r="5" spans="2:4" x14ac:dyDescent="0.25">
      <c r="B5" s="268"/>
      <c r="C5" s="193" t="s">
        <v>227</v>
      </c>
      <c r="D5" s="193" t="s">
        <v>575</v>
      </c>
    </row>
    <row r="6" spans="2:4" x14ac:dyDescent="0.25">
      <c r="B6" s="88" t="s">
        <v>340</v>
      </c>
      <c r="C6" s="65"/>
      <c r="D6" s="65"/>
    </row>
    <row r="7" spans="2:4" x14ac:dyDescent="0.25">
      <c r="B7" s="88" t="s">
        <v>339</v>
      </c>
      <c r="C7" s="65"/>
      <c r="D7" s="65"/>
    </row>
    <row r="8" spans="2:4" x14ac:dyDescent="0.25">
      <c r="B8" s="88" t="s">
        <v>338</v>
      </c>
      <c r="C8" s="65"/>
      <c r="D8" s="65"/>
    </row>
    <row r="9" spans="2:4" x14ac:dyDescent="0.25">
      <c r="B9" s="88" t="s">
        <v>337</v>
      </c>
      <c r="C9" s="65"/>
      <c r="D9" s="65"/>
    </row>
    <row r="10" spans="2:4" x14ac:dyDescent="0.25">
      <c r="B10" s="201" t="s">
        <v>322</v>
      </c>
      <c r="C10" s="196"/>
      <c r="D10" s="196">
        <f>SUM(D6:D9)</f>
        <v>0</v>
      </c>
    </row>
    <row r="11" spans="2:4" x14ac:dyDescent="0.25">
      <c r="B11" s="99"/>
      <c r="C11" s="99"/>
      <c r="D11" s="99"/>
    </row>
    <row r="12" spans="2:4" x14ac:dyDescent="0.25">
      <c r="B12" s="99"/>
      <c r="C12" s="99"/>
      <c r="D12" s="99"/>
    </row>
    <row r="13" spans="2:4" x14ac:dyDescent="0.25">
      <c r="B13" s="99"/>
      <c r="C13" s="99"/>
      <c r="D13" s="99"/>
    </row>
  </sheetData>
  <mergeCells count="2">
    <mergeCell ref="B3:B5"/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1"/>
  <sheetViews>
    <sheetView workbookViewId="0">
      <selection activeCell="C9" sqref="A1:XFD1048576"/>
    </sheetView>
  </sheetViews>
  <sheetFormatPr defaultRowHeight="15" x14ac:dyDescent="0.25"/>
  <cols>
    <col min="3" max="3" width="32" customWidth="1"/>
  </cols>
  <sheetData>
    <row r="5" spans="3:5" ht="43.15" customHeight="1" x14ac:dyDescent="0.25">
      <c r="C5" s="190" t="s">
        <v>348</v>
      </c>
      <c r="D5" s="193" t="s">
        <v>227</v>
      </c>
      <c r="E5" s="193" t="s">
        <v>575</v>
      </c>
    </row>
    <row r="6" spans="3:5" ht="22.15" customHeight="1" x14ac:dyDescent="0.25">
      <c r="C6" s="98" t="s">
        <v>347</v>
      </c>
      <c r="D6" s="102"/>
      <c r="E6" s="101"/>
    </row>
    <row r="7" spans="3:5" ht="22.15" customHeight="1" x14ac:dyDescent="0.25">
      <c r="C7" s="98" t="s">
        <v>346</v>
      </c>
      <c r="D7" s="102"/>
      <c r="E7" s="101"/>
    </row>
    <row r="8" spans="3:5" ht="30.6" customHeight="1" x14ac:dyDescent="0.25">
      <c r="C8" s="103" t="s">
        <v>345</v>
      </c>
      <c r="D8" s="102"/>
      <c r="E8" s="101"/>
    </row>
    <row r="9" spans="3:5" ht="30.6" customHeight="1" x14ac:dyDescent="0.25">
      <c r="C9" s="103" t="s">
        <v>344</v>
      </c>
      <c r="D9" s="102"/>
      <c r="E9" s="101"/>
    </row>
    <row r="10" spans="3:5" ht="25.5" x14ac:dyDescent="0.25">
      <c r="C10" s="103" t="s">
        <v>343</v>
      </c>
      <c r="D10" s="102"/>
      <c r="E10" s="101"/>
    </row>
    <row r="11" spans="3:5" ht="28.9" customHeight="1" x14ac:dyDescent="0.25">
      <c r="C11" s="103" t="s">
        <v>342</v>
      </c>
      <c r="D11" s="102"/>
      <c r="E11" s="10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B26" sqref="B26"/>
    </sheetView>
  </sheetViews>
  <sheetFormatPr defaultRowHeight="15" x14ac:dyDescent="0.25"/>
  <cols>
    <col min="2" max="2" width="37.140625" customWidth="1"/>
    <col min="3" max="4" width="12.7109375" customWidth="1"/>
    <col min="15" max="15" width="27.140625" customWidth="1"/>
  </cols>
  <sheetData>
    <row r="3" spans="2:4" ht="28.9" customHeight="1" x14ac:dyDescent="0.25">
      <c r="B3" s="293" t="s">
        <v>361</v>
      </c>
      <c r="C3" s="279" t="s">
        <v>360</v>
      </c>
      <c r="D3" s="279"/>
    </row>
    <row r="4" spans="2:4" x14ac:dyDescent="0.25">
      <c r="B4" s="293"/>
      <c r="C4" s="187" t="s">
        <v>227</v>
      </c>
      <c r="D4" s="187" t="s">
        <v>575</v>
      </c>
    </row>
    <row r="5" spans="2:4" ht="39" x14ac:dyDescent="0.25">
      <c r="B5" s="104" t="s">
        <v>601</v>
      </c>
      <c r="C5" s="87"/>
      <c r="D5" s="87"/>
    </row>
    <row r="6" spans="2:4" x14ac:dyDescent="0.25">
      <c r="B6" s="88" t="s">
        <v>359</v>
      </c>
      <c r="C6" s="87"/>
      <c r="D6" s="87"/>
    </row>
    <row r="7" spans="2:4" x14ac:dyDescent="0.25">
      <c r="B7" s="88" t="s">
        <v>358</v>
      </c>
      <c r="C7" s="87"/>
      <c r="D7" s="87"/>
    </row>
    <row r="8" spans="2:4" x14ac:dyDescent="0.25">
      <c r="B8" s="88" t="s">
        <v>357</v>
      </c>
      <c r="C8" s="87"/>
      <c r="D8" s="87"/>
    </row>
    <row r="9" spans="2:4" ht="26.25" x14ac:dyDescent="0.25">
      <c r="B9" s="104" t="s">
        <v>356</v>
      </c>
      <c r="C9" s="87"/>
      <c r="D9" s="87"/>
    </row>
    <row r="10" spans="2:4" x14ac:dyDescent="0.25">
      <c r="B10" s="105" t="s">
        <v>355</v>
      </c>
      <c r="C10" s="87"/>
      <c r="D10" s="87"/>
    </row>
    <row r="11" spans="2:4" x14ac:dyDescent="0.25">
      <c r="B11" s="105" t="s">
        <v>354</v>
      </c>
      <c r="C11" s="87"/>
      <c r="D11" s="87"/>
    </row>
    <row r="12" spans="2:4" x14ac:dyDescent="0.25">
      <c r="B12" s="105" t="s">
        <v>353</v>
      </c>
      <c r="C12" s="87"/>
      <c r="D12" s="87"/>
    </row>
    <row r="13" spans="2:4" x14ac:dyDescent="0.25">
      <c r="B13" s="105" t="s">
        <v>352</v>
      </c>
      <c r="C13" s="87"/>
      <c r="D13" s="87"/>
    </row>
    <row r="23" spans="2:4" x14ac:dyDescent="0.25">
      <c r="B23" s="187" t="s">
        <v>600</v>
      </c>
      <c r="C23" s="187" t="s">
        <v>227</v>
      </c>
      <c r="D23" s="187" t="s">
        <v>575</v>
      </c>
    </row>
    <row r="24" spans="2:4" ht="14.25" customHeight="1" x14ac:dyDescent="0.25">
      <c r="B24" s="104" t="s">
        <v>351</v>
      </c>
      <c r="C24" s="87"/>
      <c r="D24" s="87"/>
    </row>
    <row r="25" spans="2:4" x14ac:dyDescent="0.25">
      <c r="B25" s="104" t="s">
        <v>350</v>
      </c>
      <c r="C25" s="87"/>
      <c r="D25" s="87"/>
    </row>
    <row r="26" spans="2:4" x14ac:dyDescent="0.25">
      <c r="B26" s="88" t="s">
        <v>349</v>
      </c>
      <c r="C26" s="87"/>
      <c r="D26" s="87"/>
    </row>
  </sheetData>
  <mergeCells count="2">
    <mergeCell ref="B3:B4"/>
    <mergeCell ref="C3:D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zoomScale="70" zoomScaleNormal="70" workbookViewId="0">
      <selection activeCell="T82" sqref="T82"/>
    </sheetView>
  </sheetViews>
  <sheetFormatPr defaultColWidth="9.140625" defaultRowHeight="26.25" customHeight="1" x14ac:dyDescent="0.2"/>
  <cols>
    <col min="1" max="1" width="44.140625" style="13" customWidth="1"/>
    <col min="2" max="2" width="9.140625" style="13"/>
    <col min="3" max="3" width="9.140625" style="13" customWidth="1"/>
    <col min="4" max="4" width="11.7109375" style="13" customWidth="1"/>
    <col min="5" max="6" width="9.140625" style="13"/>
    <col min="7" max="7" width="11.7109375" style="13" customWidth="1"/>
    <col min="8" max="9" width="9.140625" style="13"/>
    <col min="10" max="10" width="11.85546875" style="13" customWidth="1"/>
    <col min="11" max="12" width="9.140625" style="13"/>
    <col min="13" max="13" width="11.7109375" style="13" customWidth="1"/>
    <col min="14" max="16384" width="9.140625" style="13"/>
  </cols>
  <sheetData>
    <row r="1" spans="1:19" ht="26.25" customHeight="1" x14ac:dyDescent="0.2">
      <c r="A1" s="223" t="s">
        <v>14</v>
      </c>
      <c r="B1" s="297" t="s">
        <v>104</v>
      </c>
      <c r="C1" s="298"/>
      <c r="D1" s="294" t="s">
        <v>105</v>
      </c>
      <c r="E1" s="297" t="s">
        <v>106</v>
      </c>
      <c r="F1" s="298"/>
      <c r="G1" s="294" t="s">
        <v>105</v>
      </c>
      <c r="H1" s="297" t="s">
        <v>107</v>
      </c>
      <c r="I1" s="298"/>
      <c r="J1" s="294" t="s">
        <v>105</v>
      </c>
      <c r="K1" s="297" t="s">
        <v>108</v>
      </c>
      <c r="L1" s="298"/>
      <c r="M1" s="294" t="s">
        <v>109</v>
      </c>
      <c r="N1" s="294" t="s">
        <v>218</v>
      </c>
      <c r="O1" s="294" t="s">
        <v>219</v>
      </c>
      <c r="P1" s="294" t="s">
        <v>220</v>
      </c>
      <c r="S1" s="13" t="s">
        <v>114</v>
      </c>
    </row>
    <row r="2" spans="1:19" ht="28.5" customHeight="1" thickBot="1" x14ac:dyDescent="0.25">
      <c r="A2" s="224"/>
      <c r="B2" s="299"/>
      <c r="C2" s="300"/>
      <c r="D2" s="295"/>
      <c r="E2" s="299"/>
      <c r="F2" s="300"/>
      <c r="G2" s="295"/>
      <c r="H2" s="299"/>
      <c r="I2" s="300"/>
      <c r="J2" s="295"/>
      <c r="K2" s="299"/>
      <c r="L2" s="300"/>
      <c r="M2" s="295"/>
      <c r="N2" s="295"/>
      <c r="O2" s="295"/>
      <c r="P2" s="295"/>
    </row>
    <row r="3" spans="1:19" ht="46.5" customHeight="1" thickBot="1" x14ac:dyDescent="0.25">
      <c r="A3" s="225"/>
      <c r="B3" s="36" t="s">
        <v>124</v>
      </c>
      <c r="C3" s="36" t="s">
        <v>227</v>
      </c>
      <c r="D3" s="296"/>
      <c r="E3" s="36" t="s">
        <v>124</v>
      </c>
      <c r="F3" s="36" t="s">
        <v>227</v>
      </c>
      <c r="G3" s="296"/>
      <c r="H3" s="36" t="s">
        <v>124</v>
      </c>
      <c r="I3" s="36" t="s">
        <v>227</v>
      </c>
      <c r="J3" s="296"/>
      <c r="K3" s="36" t="s">
        <v>124</v>
      </c>
      <c r="L3" s="36" t="s">
        <v>227</v>
      </c>
      <c r="M3" s="296"/>
      <c r="N3" s="296"/>
      <c r="O3" s="296"/>
      <c r="P3" s="296"/>
    </row>
    <row r="4" spans="1:19" ht="13.5" thickBot="1" x14ac:dyDescent="0.25">
      <c r="A4" s="241" t="s">
        <v>11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</row>
    <row r="5" spans="1:19" ht="13.5" thickBot="1" x14ac:dyDescent="0.25">
      <c r="A5" s="28" t="s">
        <v>126</v>
      </c>
      <c r="B5" s="18">
        <f>SUM(B6:B13)</f>
        <v>64</v>
      </c>
      <c r="C5" s="18">
        <f>SUM(C6:C13)</f>
        <v>0</v>
      </c>
      <c r="D5" s="43">
        <f>(C5-B5)/B5</f>
        <v>-1</v>
      </c>
      <c r="E5" s="18">
        <f>SUM(E6:E13)</f>
        <v>124</v>
      </c>
      <c r="F5" s="18">
        <f>SUM(F6:F13)</f>
        <v>0</v>
      </c>
      <c r="G5" s="43">
        <f>(F5-E5)/E5</f>
        <v>-1</v>
      </c>
      <c r="H5" s="18">
        <f>SUM(H6:H13)</f>
        <v>1562</v>
      </c>
      <c r="I5" s="18">
        <f>SUM(I6:I13)</f>
        <v>0</v>
      </c>
      <c r="J5" s="43">
        <f>(I5-H5)/H5</f>
        <v>-1</v>
      </c>
      <c r="K5" s="18">
        <f>SUM(K6:K13)</f>
        <v>271</v>
      </c>
      <c r="L5" s="18">
        <f>SUM(L6:L13)</f>
        <v>0</v>
      </c>
      <c r="M5" s="43">
        <f>(L5-K5)/K5</f>
        <v>-1</v>
      </c>
      <c r="N5" s="18">
        <f>C5-B5</f>
        <v>-64</v>
      </c>
      <c r="O5" s="18">
        <f>F5-E5</f>
        <v>-124</v>
      </c>
      <c r="P5" s="18">
        <f>L5-K5</f>
        <v>-271</v>
      </c>
    </row>
    <row r="6" spans="1:19" ht="13.5" thickBot="1" x14ac:dyDescent="0.25">
      <c r="A6" s="31" t="s">
        <v>127</v>
      </c>
      <c r="B6" s="5">
        <v>0</v>
      </c>
      <c r="C6" s="5">
        <v>0</v>
      </c>
      <c r="D6" s="43">
        <v>0</v>
      </c>
      <c r="E6" s="5">
        <v>0</v>
      </c>
      <c r="F6" s="5">
        <v>0</v>
      </c>
      <c r="G6" s="43">
        <v>0</v>
      </c>
      <c r="H6" s="5">
        <v>0</v>
      </c>
      <c r="I6" s="5">
        <v>0</v>
      </c>
      <c r="J6" s="43">
        <v>0</v>
      </c>
      <c r="K6" s="5">
        <v>0</v>
      </c>
      <c r="L6" s="5">
        <v>0</v>
      </c>
      <c r="M6" s="43">
        <v>0</v>
      </c>
      <c r="N6" s="15">
        <f t="shared" ref="N6:N68" si="0">C6-B6</f>
        <v>0</v>
      </c>
      <c r="O6" s="15">
        <f t="shared" ref="O6:O68" si="1">F6-E6</f>
        <v>0</v>
      </c>
      <c r="P6" s="15">
        <f t="shared" ref="P6:P68" si="2">L6-K6</f>
        <v>0</v>
      </c>
    </row>
    <row r="7" spans="1:19" ht="13.5" thickBot="1" x14ac:dyDescent="0.25">
      <c r="A7" s="31" t="s">
        <v>128</v>
      </c>
      <c r="B7" s="5">
        <v>8</v>
      </c>
      <c r="C7" s="5">
        <v>0</v>
      </c>
      <c r="D7" s="43">
        <f t="shared" ref="D7:D31" si="3">(C7-B7)/B7</f>
        <v>-1</v>
      </c>
      <c r="E7" s="5">
        <v>2</v>
      </c>
      <c r="F7" s="5">
        <v>0</v>
      </c>
      <c r="G7" s="43">
        <f t="shared" ref="G7:G24" si="4">(F7-E7)/E7</f>
        <v>-1</v>
      </c>
      <c r="H7" s="5">
        <v>17</v>
      </c>
      <c r="I7" s="5">
        <v>0</v>
      </c>
      <c r="J7" s="43">
        <f t="shared" ref="J7:J31" si="5">(I7-H7)/H7</f>
        <v>-1</v>
      </c>
      <c r="K7" s="5">
        <v>0</v>
      </c>
      <c r="L7" s="5">
        <v>0</v>
      </c>
      <c r="M7" s="43">
        <v>0</v>
      </c>
      <c r="N7" s="15">
        <f t="shared" si="0"/>
        <v>-8</v>
      </c>
      <c r="O7" s="15">
        <f t="shared" si="1"/>
        <v>-2</v>
      </c>
      <c r="P7" s="15">
        <f t="shared" si="2"/>
        <v>0</v>
      </c>
    </row>
    <row r="8" spans="1:19" ht="13.5" thickBot="1" x14ac:dyDescent="0.25">
      <c r="A8" s="31" t="s">
        <v>129</v>
      </c>
      <c r="B8" s="5">
        <v>0</v>
      </c>
      <c r="C8" s="5">
        <v>0</v>
      </c>
      <c r="D8" s="43">
        <v>0</v>
      </c>
      <c r="E8" s="5">
        <v>0</v>
      </c>
      <c r="F8" s="5">
        <v>0</v>
      </c>
      <c r="G8" s="43">
        <v>0</v>
      </c>
      <c r="H8" s="5">
        <v>0</v>
      </c>
      <c r="I8" s="5">
        <v>0</v>
      </c>
      <c r="J8" s="43">
        <v>0</v>
      </c>
      <c r="K8" s="5">
        <v>0</v>
      </c>
      <c r="L8" s="5">
        <v>0</v>
      </c>
      <c r="M8" s="43">
        <v>0</v>
      </c>
      <c r="N8" s="15">
        <f t="shared" si="0"/>
        <v>0</v>
      </c>
      <c r="O8" s="15">
        <f t="shared" si="1"/>
        <v>0</v>
      </c>
      <c r="P8" s="15">
        <f t="shared" si="2"/>
        <v>0</v>
      </c>
    </row>
    <row r="9" spans="1:19" thickBot="1" x14ac:dyDescent="0.25">
      <c r="A9" s="31" t="s">
        <v>130</v>
      </c>
      <c r="B9" s="5">
        <v>0</v>
      </c>
      <c r="C9" s="5">
        <v>0</v>
      </c>
      <c r="D9" s="43">
        <v>0</v>
      </c>
      <c r="E9" s="5">
        <v>0</v>
      </c>
      <c r="F9" s="5">
        <v>0</v>
      </c>
      <c r="G9" s="43">
        <v>0</v>
      </c>
      <c r="H9" s="5">
        <v>0</v>
      </c>
      <c r="I9" s="5">
        <v>0</v>
      </c>
      <c r="J9" s="43">
        <v>0</v>
      </c>
      <c r="K9" s="5">
        <v>0</v>
      </c>
      <c r="L9" s="5">
        <v>0</v>
      </c>
      <c r="M9" s="43">
        <v>0</v>
      </c>
      <c r="N9" s="15">
        <f t="shared" si="0"/>
        <v>0</v>
      </c>
      <c r="O9" s="15">
        <f t="shared" si="1"/>
        <v>0</v>
      </c>
      <c r="P9" s="15">
        <f t="shared" si="2"/>
        <v>0</v>
      </c>
    </row>
    <row r="10" spans="1:19" ht="13.5" thickBot="1" x14ac:dyDescent="0.25">
      <c r="A10" s="31" t="s">
        <v>131</v>
      </c>
      <c r="B10" s="5">
        <v>30</v>
      </c>
      <c r="C10" s="5">
        <v>0</v>
      </c>
      <c r="D10" s="43">
        <f t="shared" si="3"/>
        <v>-1</v>
      </c>
      <c r="E10" s="5">
        <v>67</v>
      </c>
      <c r="F10" s="5">
        <v>0</v>
      </c>
      <c r="G10" s="43">
        <f t="shared" si="4"/>
        <v>-1</v>
      </c>
      <c r="H10" s="5">
        <v>438</v>
      </c>
      <c r="I10" s="5">
        <v>0</v>
      </c>
      <c r="J10" s="43">
        <f t="shared" si="5"/>
        <v>-1</v>
      </c>
      <c r="K10" s="5">
        <v>130</v>
      </c>
      <c r="L10" s="5">
        <v>0</v>
      </c>
      <c r="M10" s="43">
        <f t="shared" ref="M10:M24" si="6">(L10-K10)/K10</f>
        <v>-1</v>
      </c>
      <c r="N10" s="15">
        <f t="shared" si="0"/>
        <v>-30</v>
      </c>
      <c r="O10" s="15">
        <f t="shared" si="1"/>
        <v>-67</v>
      </c>
      <c r="P10" s="15">
        <f t="shared" si="2"/>
        <v>-130</v>
      </c>
    </row>
    <row r="11" spans="1:19" ht="13.5" thickBot="1" x14ac:dyDescent="0.25">
      <c r="A11" s="31" t="s">
        <v>132</v>
      </c>
      <c r="B11" s="5">
        <v>9</v>
      </c>
      <c r="C11" s="5">
        <v>0</v>
      </c>
      <c r="D11" s="43">
        <f t="shared" si="3"/>
        <v>-1</v>
      </c>
      <c r="E11" s="5">
        <v>13</v>
      </c>
      <c r="F11" s="5">
        <v>0</v>
      </c>
      <c r="G11" s="43">
        <v>1</v>
      </c>
      <c r="H11" s="5">
        <v>23</v>
      </c>
      <c r="I11" s="5">
        <v>0</v>
      </c>
      <c r="J11" s="43">
        <v>1</v>
      </c>
      <c r="K11" s="5">
        <v>25</v>
      </c>
      <c r="L11" s="5">
        <v>0</v>
      </c>
      <c r="M11" s="43">
        <f t="shared" si="6"/>
        <v>-1</v>
      </c>
      <c r="N11" s="15">
        <f t="shared" si="0"/>
        <v>-9</v>
      </c>
      <c r="O11" s="15">
        <f t="shared" si="1"/>
        <v>-13</v>
      </c>
      <c r="P11" s="15">
        <f t="shared" si="2"/>
        <v>-25</v>
      </c>
    </row>
    <row r="12" spans="1:19" ht="13.5" thickBot="1" x14ac:dyDescent="0.25">
      <c r="A12" s="31" t="s">
        <v>133</v>
      </c>
      <c r="B12" s="5">
        <v>17</v>
      </c>
      <c r="C12" s="5">
        <v>0</v>
      </c>
      <c r="D12" s="43">
        <f t="shared" si="3"/>
        <v>-1</v>
      </c>
      <c r="E12" s="5">
        <v>42</v>
      </c>
      <c r="F12" s="5">
        <v>0</v>
      </c>
      <c r="G12" s="43">
        <f t="shared" si="4"/>
        <v>-1</v>
      </c>
      <c r="H12" s="5">
        <v>1084</v>
      </c>
      <c r="I12" s="5">
        <v>0</v>
      </c>
      <c r="J12" s="43">
        <f t="shared" si="5"/>
        <v>-1</v>
      </c>
      <c r="K12" s="5">
        <v>116</v>
      </c>
      <c r="L12" s="5">
        <v>0</v>
      </c>
      <c r="M12" s="43">
        <f t="shared" si="6"/>
        <v>-1</v>
      </c>
      <c r="N12" s="15">
        <f t="shared" si="0"/>
        <v>-17</v>
      </c>
      <c r="O12" s="15">
        <f t="shared" si="1"/>
        <v>-42</v>
      </c>
      <c r="P12" s="15">
        <f t="shared" si="2"/>
        <v>-116</v>
      </c>
    </row>
    <row r="13" spans="1:19" ht="39" thickBot="1" x14ac:dyDescent="0.25">
      <c r="A13" s="31" t="s">
        <v>134</v>
      </c>
      <c r="B13" s="5">
        <v>0</v>
      </c>
      <c r="C13" s="5">
        <v>0</v>
      </c>
      <c r="D13" s="43">
        <v>0</v>
      </c>
      <c r="E13" s="5">
        <v>0</v>
      </c>
      <c r="F13" s="5">
        <v>0</v>
      </c>
      <c r="G13" s="43">
        <v>0</v>
      </c>
      <c r="H13" s="5">
        <v>0</v>
      </c>
      <c r="I13" s="5">
        <v>0</v>
      </c>
      <c r="J13" s="43">
        <v>0</v>
      </c>
      <c r="K13" s="5">
        <v>0</v>
      </c>
      <c r="L13" s="5">
        <v>0</v>
      </c>
      <c r="M13" s="43">
        <v>0</v>
      </c>
      <c r="N13" s="15">
        <f t="shared" si="0"/>
        <v>0</v>
      </c>
      <c r="O13" s="15">
        <f t="shared" si="1"/>
        <v>0</v>
      </c>
      <c r="P13" s="15">
        <f t="shared" si="2"/>
        <v>0</v>
      </c>
    </row>
    <row r="14" spans="1:19" ht="39" thickBot="1" x14ac:dyDescent="0.25">
      <c r="A14" s="28" t="s">
        <v>135</v>
      </c>
      <c r="B14" s="18">
        <f>SUM(B15:B21)</f>
        <v>83</v>
      </c>
      <c r="C14" s="18">
        <f>SUM(C15:C21)</f>
        <v>0</v>
      </c>
      <c r="D14" s="43">
        <f t="shared" si="3"/>
        <v>-1</v>
      </c>
      <c r="E14" s="18">
        <f>SUM(E15:E21)</f>
        <v>55</v>
      </c>
      <c r="F14" s="18">
        <f>SUM(F15:F21)</f>
        <v>0</v>
      </c>
      <c r="G14" s="43">
        <f t="shared" si="4"/>
        <v>-1</v>
      </c>
      <c r="H14" s="18">
        <f>SUM(H15:H21)</f>
        <v>10647</v>
      </c>
      <c r="I14" s="18">
        <f>SUM(I15:I21)</f>
        <v>0</v>
      </c>
      <c r="J14" s="43">
        <f>(I14-H14)/H14</f>
        <v>-1</v>
      </c>
      <c r="K14" s="18">
        <f>SUM(K15:K21)</f>
        <v>121</v>
      </c>
      <c r="L14" s="18">
        <f>SUM(L15:L21)</f>
        <v>0</v>
      </c>
      <c r="M14" s="43">
        <f t="shared" si="6"/>
        <v>-1</v>
      </c>
      <c r="N14" s="18">
        <f t="shared" si="0"/>
        <v>-83</v>
      </c>
      <c r="O14" s="18">
        <f t="shared" si="1"/>
        <v>-55</v>
      </c>
      <c r="P14" s="18">
        <f t="shared" si="2"/>
        <v>-121</v>
      </c>
    </row>
    <row r="15" spans="1:19" ht="51.75" thickBot="1" x14ac:dyDescent="0.25">
      <c r="A15" s="31" t="s">
        <v>136</v>
      </c>
      <c r="B15" s="5">
        <v>19</v>
      </c>
      <c r="C15" s="5">
        <v>0</v>
      </c>
      <c r="D15" s="43">
        <f t="shared" si="3"/>
        <v>-1</v>
      </c>
      <c r="E15" s="5">
        <v>37</v>
      </c>
      <c r="F15" s="5">
        <v>0</v>
      </c>
      <c r="G15" s="43">
        <f t="shared" si="4"/>
        <v>-1</v>
      </c>
      <c r="H15" s="5">
        <v>815</v>
      </c>
      <c r="I15" s="5">
        <v>0</v>
      </c>
      <c r="J15" s="43">
        <f t="shared" si="5"/>
        <v>-1</v>
      </c>
      <c r="K15" s="5">
        <v>85</v>
      </c>
      <c r="L15" s="5">
        <v>0</v>
      </c>
      <c r="M15" s="43">
        <f t="shared" si="6"/>
        <v>-1</v>
      </c>
      <c r="N15" s="15">
        <f t="shared" si="0"/>
        <v>-19</v>
      </c>
      <c r="O15" s="15">
        <f t="shared" si="1"/>
        <v>-37</v>
      </c>
      <c r="P15" s="15">
        <f t="shared" si="2"/>
        <v>-85</v>
      </c>
    </row>
    <row r="16" spans="1:19" ht="64.5" thickBot="1" x14ac:dyDescent="0.25">
      <c r="A16" s="31" t="s">
        <v>138</v>
      </c>
      <c r="B16" s="5">
        <v>1</v>
      </c>
      <c r="C16" s="5">
        <v>0</v>
      </c>
      <c r="D16" s="43">
        <v>1</v>
      </c>
      <c r="E16" s="5">
        <v>1</v>
      </c>
      <c r="F16" s="5">
        <v>0</v>
      </c>
      <c r="G16" s="43">
        <v>1</v>
      </c>
      <c r="H16" s="5">
        <v>11</v>
      </c>
      <c r="I16" s="5">
        <v>0</v>
      </c>
      <c r="J16" s="43">
        <v>1</v>
      </c>
      <c r="K16" s="5">
        <v>13</v>
      </c>
      <c r="L16" s="5">
        <v>0</v>
      </c>
      <c r="M16" s="43">
        <v>1</v>
      </c>
      <c r="N16" s="15">
        <f t="shared" si="0"/>
        <v>-1</v>
      </c>
      <c r="O16" s="15">
        <f t="shared" si="1"/>
        <v>-1</v>
      </c>
      <c r="P16" s="15">
        <f t="shared" si="2"/>
        <v>-13</v>
      </c>
    </row>
    <row r="17" spans="1:27" ht="39" thickBot="1" x14ac:dyDescent="0.25">
      <c r="A17" s="31" t="s">
        <v>139</v>
      </c>
      <c r="B17" s="5">
        <v>1</v>
      </c>
      <c r="C17" s="5">
        <v>0</v>
      </c>
      <c r="D17" s="43">
        <f t="shared" si="3"/>
        <v>-1</v>
      </c>
      <c r="E17" s="5">
        <v>1</v>
      </c>
      <c r="F17" s="5">
        <v>0</v>
      </c>
      <c r="G17" s="43">
        <f t="shared" si="4"/>
        <v>-1</v>
      </c>
      <c r="H17" s="5">
        <v>9659</v>
      </c>
      <c r="I17" s="5">
        <v>0</v>
      </c>
      <c r="J17" s="43">
        <f t="shared" si="5"/>
        <v>-1</v>
      </c>
      <c r="K17" s="5">
        <v>0</v>
      </c>
      <c r="L17" s="5">
        <v>0</v>
      </c>
      <c r="M17" s="43" t="e">
        <f t="shared" si="6"/>
        <v>#DIV/0!</v>
      </c>
      <c r="N17" s="15">
        <f t="shared" si="0"/>
        <v>-1</v>
      </c>
      <c r="O17" s="15">
        <f t="shared" si="1"/>
        <v>-1</v>
      </c>
      <c r="P17" s="15">
        <f t="shared" si="2"/>
        <v>0</v>
      </c>
    </row>
    <row r="18" spans="1:27" ht="51.75" thickBot="1" x14ac:dyDescent="0.25">
      <c r="A18" s="31" t="s">
        <v>140</v>
      </c>
      <c r="B18" s="5">
        <v>0</v>
      </c>
      <c r="C18" s="5">
        <v>0</v>
      </c>
      <c r="D18" s="43">
        <v>0</v>
      </c>
      <c r="E18" s="5">
        <v>0</v>
      </c>
      <c r="F18" s="5">
        <v>0</v>
      </c>
      <c r="G18" s="43">
        <v>0</v>
      </c>
      <c r="H18" s="5">
        <v>0</v>
      </c>
      <c r="I18" s="5">
        <v>0</v>
      </c>
      <c r="J18" s="43">
        <v>0</v>
      </c>
      <c r="K18" s="5">
        <v>0</v>
      </c>
      <c r="L18" s="5">
        <v>0</v>
      </c>
      <c r="M18" s="43">
        <v>0</v>
      </c>
      <c r="N18" s="15">
        <f t="shared" si="0"/>
        <v>0</v>
      </c>
      <c r="O18" s="15">
        <f t="shared" si="1"/>
        <v>0</v>
      </c>
      <c r="P18" s="15">
        <f t="shared" si="2"/>
        <v>0</v>
      </c>
    </row>
    <row r="19" spans="1:27" ht="39" thickBot="1" x14ac:dyDescent="0.25">
      <c r="A19" s="31" t="s">
        <v>141</v>
      </c>
      <c r="B19" s="5">
        <v>2</v>
      </c>
      <c r="C19" s="5">
        <v>0</v>
      </c>
      <c r="D19" s="43">
        <v>1</v>
      </c>
      <c r="E19" s="5">
        <v>5</v>
      </c>
      <c r="F19" s="5">
        <v>0</v>
      </c>
      <c r="G19" s="43">
        <v>1</v>
      </c>
      <c r="H19" s="5">
        <v>5</v>
      </c>
      <c r="I19" s="5">
        <v>0</v>
      </c>
      <c r="J19" s="43">
        <v>1</v>
      </c>
      <c r="K19" s="5">
        <v>0</v>
      </c>
      <c r="L19" s="5">
        <v>0</v>
      </c>
      <c r="M19" s="43">
        <v>0</v>
      </c>
      <c r="N19" s="15">
        <f t="shared" si="0"/>
        <v>-2</v>
      </c>
      <c r="O19" s="15">
        <f t="shared" si="1"/>
        <v>-5</v>
      </c>
      <c r="P19" s="15">
        <f t="shared" si="2"/>
        <v>0</v>
      </c>
    </row>
    <row r="20" spans="1:27" thickBot="1" x14ac:dyDescent="0.25">
      <c r="A20" s="31" t="s">
        <v>142</v>
      </c>
      <c r="B20" s="5">
        <v>5</v>
      </c>
      <c r="C20" s="5">
        <v>0</v>
      </c>
      <c r="D20" s="43">
        <v>1</v>
      </c>
      <c r="E20" s="5">
        <v>5</v>
      </c>
      <c r="F20" s="5">
        <v>0</v>
      </c>
      <c r="G20" s="43">
        <v>1</v>
      </c>
      <c r="H20" s="5">
        <v>8</v>
      </c>
      <c r="I20" s="5">
        <v>0</v>
      </c>
      <c r="J20" s="43">
        <v>1</v>
      </c>
      <c r="K20" s="5">
        <v>7</v>
      </c>
      <c r="L20" s="5">
        <v>0</v>
      </c>
      <c r="M20" s="43">
        <v>1</v>
      </c>
      <c r="N20" s="15">
        <f t="shared" si="0"/>
        <v>-5</v>
      </c>
      <c r="O20" s="15">
        <f t="shared" si="1"/>
        <v>-5</v>
      </c>
      <c r="P20" s="15">
        <f t="shared" si="2"/>
        <v>-7</v>
      </c>
    </row>
    <row r="21" spans="1:27" ht="13.5" thickBot="1" x14ac:dyDescent="0.25">
      <c r="A21" s="31" t="s">
        <v>137</v>
      </c>
      <c r="B21" s="5">
        <v>55</v>
      </c>
      <c r="C21" s="5">
        <v>0</v>
      </c>
      <c r="D21" s="43">
        <v>1</v>
      </c>
      <c r="E21" s="5">
        <v>6</v>
      </c>
      <c r="F21" s="5">
        <v>0</v>
      </c>
      <c r="G21" s="43">
        <v>1</v>
      </c>
      <c r="H21" s="5">
        <v>149</v>
      </c>
      <c r="I21" s="5">
        <v>0</v>
      </c>
      <c r="J21" s="43">
        <v>1</v>
      </c>
      <c r="K21" s="5">
        <v>16</v>
      </c>
      <c r="L21" s="5">
        <v>0</v>
      </c>
      <c r="M21" s="43">
        <v>1</v>
      </c>
      <c r="N21" s="15">
        <f t="shared" si="0"/>
        <v>-55</v>
      </c>
      <c r="O21" s="15">
        <f t="shared" si="1"/>
        <v>-6</v>
      </c>
      <c r="P21" s="15">
        <f t="shared" si="2"/>
        <v>-16</v>
      </c>
    </row>
    <row r="22" spans="1:27" ht="13.5" thickBot="1" x14ac:dyDescent="0.25">
      <c r="A22" s="28" t="s">
        <v>143</v>
      </c>
      <c r="B22" s="18">
        <f>SUM(B23:B25)</f>
        <v>9</v>
      </c>
      <c r="C22" s="18">
        <f>SUM(C23:C25)</f>
        <v>0</v>
      </c>
      <c r="D22" s="43">
        <f t="shared" si="3"/>
        <v>-1</v>
      </c>
      <c r="E22" s="18">
        <f>SUM(E23:E25)</f>
        <v>0</v>
      </c>
      <c r="F22" s="18">
        <f>SUM(F23:F25)</f>
        <v>0</v>
      </c>
      <c r="G22" s="43" t="e">
        <f t="shared" si="4"/>
        <v>#DIV/0!</v>
      </c>
      <c r="H22" s="18">
        <f>SUM(H23:H25)</f>
        <v>88693</v>
      </c>
      <c r="I22" s="18">
        <f>SUM(I23:I25)</f>
        <v>0</v>
      </c>
      <c r="J22" s="43">
        <f t="shared" si="5"/>
        <v>-1</v>
      </c>
      <c r="K22" s="18">
        <f>SUM(K23:K25)</f>
        <v>0</v>
      </c>
      <c r="L22" s="18">
        <f>SUM(L23:L25)</f>
        <v>0</v>
      </c>
      <c r="M22" s="43" t="e">
        <f t="shared" si="6"/>
        <v>#DIV/0!</v>
      </c>
      <c r="N22" s="18">
        <f t="shared" si="0"/>
        <v>-9</v>
      </c>
      <c r="O22" s="18">
        <f t="shared" si="1"/>
        <v>0</v>
      </c>
      <c r="P22" s="18">
        <f t="shared" si="2"/>
        <v>0</v>
      </c>
    </row>
    <row r="23" spans="1:27" ht="13.5" thickBot="1" x14ac:dyDescent="0.25">
      <c r="A23" s="31" t="s">
        <v>144</v>
      </c>
      <c r="B23" s="5">
        <v>1</v>
      </c>
      <c r="C23" s="5">
        <v>0</v>
      </c>
      <c r="D23" s="43">
        <v>1</v>
      </c>
      <c r="E23" s="5">
        <v>0</v>
      </c>
      <c r="F23" s="5">
        <v>0</v>
      </c>
      <c r="G23" s="43">
        <v>0</v>
      </c>
      <c r="H23" s="5">
        <v>51</v>
      </c>
      <c r="I23" s="5">
        <v>0</v>
      </c>
      <c r="J23" s="43">
        <v>1</v>
      </c>
      <c r="K23" s="5">
        <v>0</v>
      </c>
      <c r="L23" s="5">
        <v>0</v>
      </c>
      <c r="M23" s="43">
        <v>0</v>
      </c>
      <c r="N23" s="15">
        <f t="shared" si="0"/>
        <v>-1</v>
      </c>
      <c r="O23" s="15">
        <f t="shared" si="1"/>
        <v>0</v>
      </c>
      <c r="P23" s="15">
        <f t="shared" si="2"/>
        <v>0</v>
      </c>
    </row>
    <row r="24" spans="1:27" thickBot="1" x14ac:dyDescent="0.25">
      <c r="A24" s="31" t="s">
        <v>146</v>
      </c>
      <c r="B24" s="5">
        <v>8</v>
      </c>
      <c r="C24" s="5">
        <v>0</v>
      </c>
      <c r="D24" s="43">
        <f t="shared" si="3"/>
        <v>-1</v>
      </c>
      <c r="E24" s="5">
        <v>0</v>
      </c>
      <c r="F24" s="5">
        <v>0</v>
      </c>
      <c r="G24" s="43" t="e">
        <f t="shared" si="4"/>
        <v>#DIV/0!</v>
      </c>
      <c r="H24" s="5">
        <v>88642</v>
      </c>
      <c r="I24" s="5">
        <v>0</v>
      </c>
      <c r="J24" s="43">
        <f t="shared" si="5"/>
        <v>-1</v>
      </c>
      <c r="K24" s="5">
        <v>0</v>
      </c>
      <c r="L24" s="5">
        <v>0</v>
      </c>
      <c r="M24" s="43" t="e">
        <f t="shared" si="6"/>
        <v>#DIV/0!</v>
      </c>
      <c r="N24" s="15">
        <f t="shared" si="0"/>
        <v>-8</v>
      </c>
      <c r="O24" s="15">
        <f t="shared" si="1"/>
        <v>0</v>
      </c>
      <c r="P24" s="15">
        <f t="shared" si="2"/>
        <v>0</v>
      </c>
      <c r="AA24" s="13" t="s">
        <v>225</v>
      </c>
    </row>
    <row r="25" spans="1:27" ht="13.5" thickBot="1" x14ac:dyDescent="0.25">
      <c r="A25" s="31" t="s">
        <v>145</v>
      </c>
      <c r="B25" s="5">
        <v>0</v>
      </c>
      <c r="C25" s="5">
        <v>0</v>
      </c>
      <c r="D25" s="43">
        <v>0</v>
      </c>
      <c r="E25" s="5">
        <v>0</v>
      </c>
      <c r="F25" s="5">
        <v>0</v>
      </c>
      <c r="G25" s="43">
        <v>0</v>
      </c>
      <c r="H25" s="5">
        <v>0</v>
      </c>
      <c r="I25" s="5">
        <v>0</v>
      </c>
      <c r="J25" s="43">
        <v>0</v>
      </c>
      <c r="K25" s="5">
        <v>0</v>
      </c>
      <c r="L25" s="5">
        <v>0</v>
      </c>
      <c r="M25" s="43">
        <v>0</v>
      </c>
      <c r="N25" s="15">
        <f t="shared" si="0"/>
        <v>0</v>
      </c>
      <c r="O25" s="15">
        <f t="shared" si="1"/>
        <v>0</v>
      </c>
      <c r="P25" s="15">
        <f t="shared" si="2"/>
        <v>0</v>
      </c>
    </row>
    <row r="26" spans="1:27" thickBot="1" x14ac:dyDescent="0.25">
      <c r="A26" s="28" t="s">
        <v>147</v>
      </c>
      <c r="B26" s="18">
        <f>SUM(B27:B29)</f>
        <v>0</v>
      </c>
      <c r="C26" s="18">
        <f>SUM(C27:C29)</f>
        <v>0</v>
      </c>
      <c r="D26" s="43">
        <v>0</v>
      </c>
      <c r="E26" s="18">
        <f>SUM(E27:E29)</f>
        <v>0</v>
      </c>
      <c r="F26" s="18">
        <f>SUM(F27:F29)</f>
        <v>0</v>
      </c>
      <c r="G26" s="43">
        <v>0</v>
      </c>
      <c r="H26" s="18">
        <f>SUM(H27:H29)</f>
        <v>0</v>
      </c>
      <c r="I26" s="18">
        <f>SUM(I27:I29)</f>
        <v>0</v>
      </c>
      <c r="J26" s="43">
        <v>0</v>
      </c>
      <c r="K26" s="18">
        <f>SUM(K27:K29)</f>
        <v>0</v>
      </c>
      <c r="L26" s="18">
        <f>SUM(L27:L29)</f>
        <v>0</v>
      </c>
      <c r="M26" s="43">
        <v>0</v>
      </c>
      <c r="N26" s="18">
        <f t="shared" si="0"/>
        <v>0</v>
      </c>
      <c r="O26" s="18">
        <f t="shared" si="1"/>
        <v>0</v>
      </c>
      <c r="P26" s="18">
        <f t="shared" si="2"/>
        <v>0</v>
      </c>
    </row>
    <row r="27" spans="1:27" ht="39" thickBot="1" x14ac:dyDescent="0.25">
      <c r="A27" s="31" t="s">
        <v>149</v>
      </c>
      <c r="B27" s="5">
        <v>0</v>
      </c>
      <c r="C27" s="5">
        <v>0</v>
      </c>
      <c r="D27" s="43">
        <v>0</v>
      </c>
      <c r="E27" s="5">
        <v>0</v>
      </c>
      <c r="F27" s="5">
        <v>0</v>
      </c>
      <c r="G27" s="43">
        <v>0</v>
      </c>
      <c r="H27" s="5">
        <v>0</v>
      </c>
      <c r="I27" s="5">
        <v>0</v>
      </c>
      <c r="J27" s="43">
        <v>0</v>
      </c>
      <c r="K27" s="5">
        <v>0</v>
      </c>
      <c r="L27" s="5">
        <v>0</v>
      </c>
      <c r="M27" s="43">
        <v>0</v>
      </c>
      <c r="N27" s="15">
        <f t="shared" si="0"/>
        <v>0</v>
      </c>
      <c r="O27" s="15">
        <f t="shared" si="1"/>
        <v>0</v>
      </c>
      <c r="P27" s="15">
        <f t="shared" si="2"/>
        <v>0</v>
      </c>
    </row>
    <row r="28" spans="1:27" ht="51.75" thickBot="1" x14ac:dyDescent="0.25">
      <c r="A28" s="31" t="s">
        <v>150</v>
      </c>
      <c r="B28" s="5">
        <v>0</v>
      </c>
      <c r="C28" s="5">
        <v>0</v>
      </c>
      <c r="D28" s="43">
        <v>0</v>
      </c>
      <c r="E28" s="5">
        <v>0</v>
      </c>
      <c r="F28" s="5">
        <v>0</v>
      </c>
      <c r="G28" s="43">
        <v>0</v>
      </c>
      <c r="H28" s="5">
        <v>0</v>
      </c>
      <c r="I28" s="5">
        <v>0</v>
      </c>
      <c r="J28" s="43">
        <v>0</v>
      </c>
      <c r="K28" s="5">
        <v>0</v>
      </c>
      <c r="L28" s="5">
        <v>0</v>
      </c>
      <c r="M28" s="43">
        <v>0</v>
      </c>
      <c r="N28" s="15">
        <f t="shared" si="0"/>
        <v>0</v>
      </c>
      <c r="O28" s="15">
        <f t="shared" si="1"/>
        <v>0</v>
      </c>
      <c r="P28" s="15">
        <f t="shared" si="2"/>
        <v>0</v>
      </c>
    </row>
    <row r="29" spans="1:27" ht="13.5" thickBot="1" x14ac:dyDescent="0.25">
      <c r="A29" s="31" t="s">
        <v>148</v>
      </c>
      <c r="B29" s="5">
        <v>0</v>
      </c>
      <c r="C29" s="5">
        <v>0</v>
      </c>
      <c r="D29" s="43">
        <v>0</v>
      </c>
      <c r="E29" s="5">
        <v>0</v>
      </c>
      <c r="F29" s="5">
        <v>0</v>
      </c>
      <c r="G29" s="43">
        <v>0</v>
      </c>
      <c r="H29" s="5">
        <v>0</v>
      </c>
      <c r="I29" s="5">
        <v>0</v>
      </c>
      <c r="J29" s="43">
        <v>0</v>
      </c>
      <c r="K29" s="5">
        <v>0</v>
      </c>
      <c r="L29" s="5">
        <v>0</v>
      </c>
      <c r="M29" s="43">
        <v>0</v>
      </c>
      <c r="N29" s="15">
        <f t="shared" si="0"/>
        <v>0</v>
      </c>
      <c r="O29" s="15">
        <f t="shared" si="1"/>
        <v>0</v>
      </c>
      <c r="P29" s="15">
        <f t="shared" si="2"/>
        <v>0</v>
      </c>
    </row>
    <row r="30" spans="1:27" thickBot="1" x14ac:dyDescent="0.25">
      <c r="A30" s="28" t="s">
        <v>151</v>
      </c>
      <c r="B30" s="18">
        <f>SUM(B31)</f>
        <v>8</v>
      </c>
      <c r="C30" s="18">
        <f>SUM(C31)</f>
        <v>0</v>
      </c>
      <c r="D30" s="43">
        <f t="shared" si="3"/>
        <v>-1</v>
      </c>
      <c r="E30" s="18">
        <f>SUM(E31)</f>
        <v>2</v>
      </c>
      <c r="F30" s="18">
        <f>SUM(F31)</f>
        <v>0</v>
      </c>
      <c r="G30" s="43">
        <v>1</v>
      </c>
      <c r="H30" s="18">
        <f>SUM(H31)</f>
        <v>10</v>
      </c>
      <c r="I30" s="18">
        <f>SUM(I31)</f>
        <v>0</v>
      </c>
      <c r="J30" s="43">
        <f t="shared" si="5"/>
        <v>-1</v>
      </c>
      <c r="K30" s="18">
        <f>SUM(K31)</f>
        <v>8</v>
      </c>
      <c r="L30" s="18">
        <f>SUM(L31)</f>
        <v>0</v>
      </c>
      <c r="M30" s="43">
        <v>1</v>
      </c>
      <c r="N30" s="18">
        <f t="shared" si="0"/>
        <v>-8</v>
      </c>
      <c r="O30" s="18">
        <f t="shared" si="1"/>
        <v>-2</v>
      </c>
      <c r="P30" s="18">
        <f t="shared" si="2"/>
        <v>-8</v>
      </c>
    </row>
    <row r="31" spans="1:27" ht="77.25" thickBot="1" x14ac:dyDescent="0.25">
      <c r="A31" s="31" t="s">
        <v>152</v>
      </c>
      <c r="B31" s="5">
        <v>8</v>
      </c>
      <c r="C31" s="5">
        <v>0</v>
      </c>
      <c r="D31" s="43">
        <f t="shared" si="3"/>
        <v>-1</v>
      </c>
      <c r="E31" s="5">
        <v>2</v>
      </c>
      <c r="F31" s="5">
        <v>0</v>
      </c>
      <c r="G31" s="43">
        <v>1</v>
      </c>
      <c r="H31" s="5">
        <v>10</v>
      </c>
      <c r="I31" s="5">
        <v>0</v>
      </c>
      <c r="J31" s="43">
        <f t="shared" si="5"/>
        <v>-1</v>
      </c>
      <c r="K31" s="5">
        <v>8</v>
      </c>
      <c r="L31" s="5">
        <v>0</v>
      </c>
      <c r="M31" s="43">
        <v>1</v>
      </c>
      <c r="N31" s="15">
        <f t="shared" si="0"/>
        <v>-8</v>
      </c>
      <c r="O31" s="15">
        <f t="shared" si="1"/>
        <v>-2</v>
      </c>
      <c r="P31" s="15">
        <f t="shared" si="2"/>
        <v>-8</v>
      </c>
    </row>
    <row r="32" spans="1:27" ht="39" thickBot="1" x14ac:dyDescent="0.25">
      <c r="A32" s="28" t="s">
        <v>153</v>
      </c>
      <c r="B32" s="18">
        <f>SUM(B33:B35)</f>
        <v>0</v>
      </c>
      <c r="C32" s="18">
        <f>SUM(C33:C35)</f>
        <v>0</v>
      </c>
      <c r="D32" s="43">
        <v>0</v>
      </c>
      <c r="E32" s="18">
        <f>SUM(E33:E35)</f>
        <v>0</v>
      </c>
      <c r="F32" s="18">
        <f>SUM(F33:F35)</f>
        <v>0</v>
      </c>
      <c r="G32" s="43">
        <v>0</v>
      </c>
      <c r="H32" s="18">
        <f>SUM(H33:H35)</f>
        <v>0</v>
      </c>
      <c r="I32" s="18">
        <f>SUM(I33:I35)</f>
        <v>0</v>
      </c>
      <c r="J32" s="43">
        <v>0</v>
      </c>
      <c r="K32" s="18">
        <f>SUM(K33:K35)</f>
        <v>0</v>
      </c>
      <c r="L32" s="18">
        <f>SUM(L33:L35)</f>
        <v>0</v>
      </c>
      <c r="M32" s="43">
        <v>0</v>
      </c>
      <c r="N32" s="18">
        <f t="shared" si="0"/>
        <v>0</v>
      </c>
      <c r="O32" s="18">
        <f t="shared" si="1"/>
        <v>0</v>
      </c>
      <c r="P32" s="18">
        <f t="shared" si="2"/>
        <v>0</v>
      </c>
    </row>
    <row r="33" spans="1:27" ht="90" thickBot="1" x14ac:dyDescent="0.25">
      <c r="A33" s="31" t="s">
        <v>154</v>
      </c>
      <c r="B33" s="5">
        <v>0</v>
      </c>
      <c r="C33" s="5">
        <v>0</v>
      </c>
      <c r="D33" s="43">
        <v>0</v>
      </c>
      <c r="E33" s="5">
        <v>0</v>
      </c>
      <c r="F33" s="5">
        <v>0</v>
      </c>
      <c r="G33" s="43">
        <v>0</v>
      </c>
      <c r="H33" s="5">
        <v>0</v>
      </c>
      <c r="I33" s="5">
        <v>0</v>
      </c>
      <c r="J33" s="43">
        <v>0</v>
      </c>
      <c r="K33" s="5">
        <v>0</v>
      </c>
      <c r="L33" s="5">
        <v>0</v>
      </c>
      <c r="M33" s="43">
        <v>0</v>
      </c>
      <c r="N33" s="15">
        <f t="shared" si="0"/>
        <v>0</v>
      </c>
      <c r="O33" s="15">
        <f t="shared" si="1"/>
        <v>0</v>
      </c>
      <c r="P33" s="15">
        <f t="shared" si="2"/>
        <v>0</v>
      </c>
    </row>
    <row r="34" spans="1:27" ht="90" thickBot="1" x14ac:dyDescent="0.25">
      <c r="A34" s="31" t="s">
        <v>155</v>
      </c>
      <c r="B34" s="5">
        <v>0</v>
      </c>
      <c r="C34" s="5">
        <v>0</v>
      </c>
      <c r="D34" s="43">
        <v>0</v>
      </c>
      <c r="E34" s="5">
        <v>0</v>
      </c>
      <c r="F34" s="5">
        <v>0</v>
      </c>
      <c r="G34" s="43">
        <v>0</v>
      </c>
      <c r="H34" s="5">
        <v>0</v>
      </c>
      <c r="I34" s="5">
        <v>0</v>
      </c>
      <c r="J34" s="43">
        <v>0</v>
      </c>
      <c r="K34" s="5">
        <v>0</v>
      </c>
      <c r="L34" s="5">
        <v>0</v>
      </c>
      <c r="M34" s="43">
        <v>0</v>
      </c>
      <c r="N34" s="15">
        <f t="shared" si="0"/>
        <v>0</v>
      </c>
      <c r="O34" s="15">
        <f t="shared" si="1"/>
        <v>0</v>
      </c>
      <c r="P34" s="15">
        <f t="shared" si="2"/>
        <v>0</v>
      </c>
    </row>
    <row r="35" spans="1:27" ht="39" thickBot="1" x14ac:dyDescent="0.25">
      <c r="A35" s="31" t="s">
        <v>156</v>
      </c>
      <c r="B35" s="5">
        <v>0</v>
      </c>
      <c r="C35" s="5">
        <v>0</v>
      </c>
      <c r="D35" s="43">
        <v>0</v>
      </c>
      <c r="E35" s="5">
        <v>0</v>
      </c>
      <c r="F35" s="5">
        <v>0</v>
      </c>
      <c r="G35" s="43">
        <v>0</v>
      </c>
      <c r="H35" s="5">
        <v>0</v>
      </c>
      <c r="I35" s="5">
        <v>0</v>
      </c>
      <c r="J35" s="43">
        <v>0</v>
      </c>
      <c r="K35" s="5">
        <v>0</v>
      </c>
      <c r="L35" s="5">
        <v>0</v>
      </c>
      <c r="M35" s="43">
        <v>0</v>
      </c>
      <c r="N35" s="15">
        <f t="shared" si="0"/>
        <v>0</v>
      </c>
      <c r="O35" s="15">
        <f t="shared" si="1"/>
        <v>0</v>
      </c>
      <c r="P35" s="15">
        <f t="shared" si="2"/>
        <v>0</v>
      </c>
    </row>
    <row r="36" spans="1:27" thickBot="1" x14ac:dyDescent="0.25">
      <c r="A36" s="28" t="s">
        <v>157</v>
      </c>
      <c r="B36" s="18">
        <f>SUM(B37)</f>
        <v>0</v>
      </c>
      <c r="C36" s="18">
        <f>SUM(C37)</f>
        <v>0</v>
      </c>
      <c r="D36" s="43">
        <v>0</v>
      </c>
      <c r="E36" s="18">
        <f>SUM(E37)</f>
        <v>0</v>
      </c>
      <c r="F36" s="18">
        <f>SUM(F37)</f>
        <v>0</v>
      </c>
      <c r="G36" s="43">
        <v>0</v>
      </c>
      <c r="H36" s="18">
        <f>SUM(H37)</f>
        <v>0</v>
      </c>
      <c r="I36" s="18">
        <f>SUM(I37)</f>
        <v>0</v>
      </c>
      <c r="J36" s="43">
        <v>0</v>
      </c>
      <c r="K36" s="18">
        <f>SUM(K37)</f>
        <v>0</v>
      </c>
      <c r="L36" s="18">
        <f>SUM(L37)</f>
        <v>0</v>
      </c>
      <c r="M36" s="43">
        <v>0</v>
      </c>
      <c r="N36" s="18">
        <f t="shared" si="0"/>
        <v>0</v>
      </c>
      <c r="O36" s="18">
        <f t="shared" si="1"/>
        <v>0</v>
      </c>
      <c r="P36" s="18">
        <f t="shared" si="2"/>
        <v>0</v>
      </c>
    </row>
    <row r="37" spans="1:27" ht="51.75" thickBot="1" x14ac:dyDescent="0.25">
      <c r="A37" s="31" t="s">
        <v>158</v>
      </c>
      <c r="B37" s="5">
        <v>0</v>
      </c>
      <c r="C37" s="5">
        <v>0</v>
      </c>
      <c r="D37" s="43">
        <v>0</v>
      </c>
      <c r="E37" s="5">
        <v>0</v>
      </c>
      <c r="F37" s="5">
        <v>0</v>
      </c>
      <c r="G37" s="43">
        <v>0</v>
      </c>
      <c r="H37" s="5">
        <v>0</v>
      </c>
      <c r="I37" s="5">
        <v>0</v>
      </c>
      <c r="J37" s="43">
        <v>0</v>
      </c>
      <c r="K37" s="5">
        <v>0</v>
      </c>
      <c r="L37" s="5">
        <v>0</v>
      </c>
      <c r="M37" s="43">
        <v>0</v>
      </c>
      <c r="N37" s="15">
        <f t="shared" si="0"/>
        <v>0</v>
      </c>
      <c r="O37" s="15">
        <f t="shared" si="1"/>
        <v>0</v>
      </c>
      <c r="P37" s="15">
        <f t="shared" si="2"/>
        <v>0</v>
      </c>
    </row>
    <row r="38" spans="1:27" ht="13.5" thickBot="1" x14ac:dyDescent="0.25">
      <c r="A38" s="28" t="s">
        <v>159</v>
      </c>
      <c r="B38" s="18">
        <f>SUM(B39)</f>
        <v>0</v>
      </c>
      <c r="C38" s="18">
        <f>SUM(C39)</f>
        <v>0</v>
      </c>
      <c r="D38" s="43">
        <v>0</v>
      </c>
      <c r="E38" s="18">
        <f>SUM(E39)</f>
        <v>0</v>
      </c>
      <c r="F38" s="18">
        <f>SUM(F39)</f>
        <v>0</v>
      </c>
      <c r="G38" s="43">
        <v>0</v>
      </c>
      <c r="H38" s="18">
        <f>SUM(H39)</f>
        <v>0</v>
      </c>
      <c r="I38" s="18">
        <f>SUM(I39)</f>
        <v>0</v>
      </c>
      <c r="J38" s="43">
        <v>0</v>
      </c>
      <c r="K38" s="18">
        <f>SUM(K39)</f>
        <v>0</v>
      </c>
      <c r="L38" s="18">
        <f>SUM(L39)</f>
        <v>0</v>
      </c>
      <c r="M38" s="43">
        <v>0</v>
      </c>
      <c r="N38" s="18">
        <f t="shared" si="0"/>
        <v>0</v>
      </c>
      <c r="O38" s="18">
        <f t="shared" si="1"/>
        <v>0</v>
      </c>
      <c r="P38" s="18">
        <f t="shared" si="2"/>
        <v>0</v>
      </c>
    </row>
    <row r="39" spans="1:27" ht="13.5" thickBot="1" x14ac:dyDescent="0.25">
      <c r="A39" s="31" t="s">
        <v>160</v>
      </c>
      <c r="B39" s="5">
        <v>0</v>
      </c>
      <c r="C39" s="5">
        <v>0</v>
      </c>
      <c r="D39" s="43">
        <v>0</v>
      </c>
      <c r="E39" s="5">
        <v>0</v>
      </c>
      <c r="F39" s="5">
        <v>0</v>
      </c>
      <c r="G39" s="43">
        <v>0</v>
      </c>
      <c r="H39" s="5">
        <v>0</v>
      </c>
      <c r="I39" s="5">
        <v>0</v>
      </c>
      <c r="J39" s="43">
        <v>0</v>
      </c>
      <c r="K39" s="5">
        <v>0</v>
      </c>
      <c r="L39" s="5">
        <v>0</v>
      </c>
      <c r="M39" s="43">
        <v>0</v>
      </c>
      <c r="N39" s="15">
        <f t="shared" si="0"/>
        <v>0</v>
      </c>
      <c r="O39" s="15">
        <f t="shared" si="1"/>
        <v>0</v>
      </c>
      <c r="P39" s="15">
        <f t="shared" si="2"/>
        <v>0</v>
      </c>
    </row>
    <row r="40" spans="1:27" ht="13.5" thickBot="1" x14ac:dyDescent="0.25">
      <c r="A40" s="29" t="s">
        <v>13</v>
      </c>
      <c r="B40" s="33">
        <f>SUM(B5,B14,B22,B26,B30,B32,B36,B38)</f>
        <v>164</v>
      </c>
      <c r="C40" s="33">
        <f>SUM(C5,C14,C22,C26,C30,C32,C36,C38)</f>
        <v>0</v>
      </c>
      <c r="D40" s="43">
        <f>(C40-B40)/B40</f>
        <v>-1</v>
      </c>
      <c r="E40" s="33">
        <f>SUM(E5,E14,E22,E26,E30,E32,E36,E38)</f>
        <v>181</v>
      </c>
      <c r="F40" s="33">
        <f>SUM(F5,F14,F22,F26,F30,F32,F36,F38)</f>
        <v>0</v>
      </c>
      <c r="G40" s="43">
        <f>(F40-E40)/E40</f>
        <v>-1</v>
      </c>
      <c r="H40" s="33">
        <f>SUM(H5,H14,H22,H26,H30,H32,H36,H38)</f>
        <v>100912</v>
      </c>
      <c r="I40" s="33">
        <f>SUM(I5,I14,I22,I26,I30,I32,I36,I38)</f>
        <v>0</v>
      </c>
      <c r="J40" s="43">
        <f>(I40-H40)/H40</f>
        <v>-1</v>
      </c>
      <c r="K40" s="33">
        <f>SUM(K5,K14,K22,K26,K30,K32,K36,K38)</f>
        <v>400</v>
      </c>
      <c r="L40" s="33">
        <f>SUM(L5,L14,L22,L26,L30,L32,L36,L38)</f>
        <v>0</v>
      </c>
      <c r="M40" s="43">
        <f>(L40-K40)/K40</f>
        <v>-1</v>
      </c>
      <c r="N40" s="33">
        <f t="shared" si="0"/>
        <v>-164</v>
      </c>
      <c r="O40" s="33">
        <f t="shared" si="1"/>
        <v>-181</v>
      </c>
      <c r="P40" s="39">
        <f t="shared" si="2"/>
        <v>-400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ht="13.5" thickBot="1" x14ac:dyDescent="0.25">
      <c r="A41" s="241" t="s">
        <v>12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27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ht="13.5" thickBot="1" x14ac:dyDescent="0.25">
      <c r="A42" s="28" t="s">
        <v>163</v>
      </c>
      <c r="B42" s="18">
        <f>SUM(B43:B44)</f>
        <v>0</v>
      </c>
      <c r="C42" s="18">
        <f>SUM(C43:C44)</f>
        <v>0</v>
      </c>
      <c r="D42" s="43">
        <v>0</v>
      </c>
      <c r="E42" s="18">
        <f>SUM(E43:E44)</f>
        <v>0</v>
      </c>
      <c r="F42" s="18">
        <f>SUM(F43:F44)</f>
        <v>0</v>
      </c>
      <c r="G42" s="43">
        <v>0</v>
      </c>
      <c r="H42" s="18">
        <f>SUM(H43:H44)</f>
        <v>0</v>
      </c>
      <c r="I42" s="18">
        <f>SUM(I43:I44)</f>
        <v>0</v>
      </c>
      <c r="J42" s="43">
        <v>0</v>
      </c>
      <c r="K42" s="18">
        <f>SUM(K43:K44)</f>
        <v>0</v>
      </c>
      <c r="L42" s="18">
        <f>SUM(L43:L44)</f>
        <v>0</v>
      </c>
      <c r="M42" s="43">
        <v>0</v>
      </c>
      <c r="N42" s="18">
        <f t="shared" si="0"/>
        <v>0</v>
      </c>
      <c r="O42" s="18">
        <f t="shared" si="1"/>
        <v>0</v>
      </c>
      <c r="P42" s="18">
        <f t="shared" si="2"/>
        <v>0</v>
      </c>
    </row>
    <row r="43" spans="1:27" ht="13.5" thickBot="1" x14ac:dyDescent="0.25">
      <c r="A43" s="31" t="s">
        <v>164</v>
      </c>
      <c r="B43" s="5">
        <v>0</v>
      </c>
      <c r="C43" s="5">
        <v>0</v>
      </c>
      <c r="D43" s="43">
        <v>0</v>
      </c>
      <c r="E43" s="5">
        <v>0</v>
      </c>
      <c r="F43" s="5">
        <v>0</v>
      </c>
      <c r="G43" s="43">
        <v>0</v>
      </c>
      <c r="H43" s="5">
        <v>0</v>
      </c>
      <c r="I43" s="5">
        <v>0</v>
      </c>
      <c r="J43" s="43">
        <v>0</v>
      </c>
      <c r="K43" s="5">
        <v>0</v>
      </c>
      <c r="L43" s="5">
        <v>0</v>
      </c>
      <c r="M43" s="43">
        <v>0</v>
      </c>
      <c r="N43" s="15">
        <f t="shared" si="0"/>
        <v>0</v>
      </c>
      <c r="O43" s="15">
        <f t="shared" si="1"/>
        <v>0</v>
      </c>
      <c r="P43" s="15">
        <f t="shared" si="2"/>
        <v>0</v>
      </c>
    </row>
    <row r="44" spans="1:27" ht="13.5" thickBot="1" x14ac:dyDescent="0.25">
      <c r="A44" s="31" t="s">
        <v>165</v>
      </c>
      <c r="B44" s="5">
        <v>0</v>
      </c>
      <c r="C44" s="5">
        <v>0</v>
      </c>
      <c r="D44" s="43">
        <v>0</v>
      </c>
      <c r="E44" s="5">
        <v>0</v>
      </c>
      <c r="F44" s="5">
        <v>0</v>
      </c>
      <c r="G44" s="43">
        <v>0</v>
      </c>
      <c r="H44" s="5">
        <v>0</v>
      </c>
      <c r="I44" s="5">
        <v>0</v>
      </c>
      <c r="J44" s="43">
        <v>0</v>
      </c>
      <c r="K44" s="5">
        <v>0</v>
      </c>
      <c r="L44" s="5">
        <v>0</v>
      </c>
      <c r="M44" s="43">
        <v>0</v>
      </c>
      <c r="N44" s="15">
        <f t="shared" si="0"/>
        <v>0</v>
      </c>
      <c r="O44" s="15">
        <f t="shared" si="1"/>
        <v>0</v>
      </c>
      <c r="P44" s="15">
        <f t="shared" si="2"/>
        <v>0</v>
      </c>
    </row>
    <row r="45" spans="1:27" ht="13.5" thickBot="1" x14ac:dyDescent="0.25">
      <c r="A45" s="28" t="s">
        <v>166</v>
      </c>
      <c r="B45" s="18">
        <f>SUM(B46:B49)</f>
        <v>3</v>
      </c>
      <c r="C45" s="18">
        <f>SUM(C46:C49)</f>
        <v>0</v>
      </c>
      <c r="D45" s="43">
        <f>(C45-B45)/B45</f>
        <v>-1</v>
      </c>
      <c r="E45" s="18">
        <f>SUM(E46:E49)</f>
        <v>0</v>
      </c>
      <c r="F45" s="18">
        <f>SUM(F46:F49)</f>
        <v>0</v>
      </c>
      <c r="G45" s="43">
        <v>0</v>
      </c>
      <c r="H45" s="18">
        <f>SUM(H46:H49)</f>
        <v>879</v>
      </c>
      <c r="I45" s="18">
        <f>SUM(I46:I49)</f>
        <v>0</v>
      </c>
      <c r="J45" s="43">
        <f>(I45-H45)/H45</f>
        <v>-1</v>
      </c>
      <c r="K45" s="18">
        <f>SUM(K46:K49)</f>
        <v>0</v>
      </c>
      <c r="L45" s="18">
        <f>SUM(L46:L49)</f>
        <v>0</v>
      </c>
      <c r="M45" s="43">
        <v>0</v>
      </c>
      <c r="N45" s="18">
        <f t="shared" si="0"/>
        <v>-3</v>
      </c>
      <c r="O45" s="18">
        <f t="shared" si="1"/>
        <v>0</v>
      </c>
      <c r="P45" s="18">
        <f t="shared" si="2"/>
        <v>0</v>
      </c>
    </row>
    <row r="46" spans="1:27" ht="13.5" thickBot="1" x14ac:dyDescent="0.25">
      <c r="A46" s="31" t="s">
        <v>167</v>
      </c>
      <c r="B46" s="5">
        <v>1</v>
      </c>
      <c r="C46" s="5">
        <v>0</v>
      </c>
      <c r="D46" s="43">
        <f>(C46-B46)/B46</f>
        <v>-1</v>
      </c>
      <c r="E46" s="5">
        <v>0</v>
      </c>
      <c r="F46" s="5">
        <v>0</v>
      </c>
      <c r="G46" s="43">
        <v>0</v>
      </c>
      <c r="H46" s="5">
        <v>681</v>
      </c>
      <c r="I46" s="5">
        <v>0</v>
      </c>
      <c r="J46" s="43">
        <f t="shared" ref="J46:J81" si="7">(I46-H46)/H46</f>
        <v>-1</v>
      </c>
      <c r="K46" s="5">
        <v>0</v>
      </c>
      <c r="L46" s="5">
        <v>0</v>
      </c>
      <c r="M46" s="43">
        <v>0</v>
      </c>
      <c r="N46" s="15">
        <f t="shared" si="0"/>
        <v>-1</v>
      </c>
      <c r="O46" s="15">
        <f t="shared" si="1"/>
        <v>0</v>
      </c>
      <c r="P46" s="15">
        <f t="shared" si="2"/>
        <v>0</v>
      </c>
    </row>
    <row r="47" spans="1:27" ht="13.5" thickBot="1" x14ac:dyDescent="0.25">
      <c r="A47" s="31" t="s">
        <v>168</v>
      </c>
      <c r="B47" s="5">
        <v>2</v>
      </c>
      <c r="C47" s="5">
        <v>0</v>
      </c>
      <c r="D47" s="43">
        <v>1</v>
      </c>
      <c r="E47" s="5">
        <v>0</v>
      </c>
      <c r="F47" s="5">
        <v>0</v>
      </c>
      <c r="G47" s="43">
        <v>0</v>
      </c>
      <c r="H47" s="5">
        <v>198</v>
      </c>
      <c r="I47" s="5">
        <v>0</v>
      </c>
      <c r="J47" s="43">
        <v>1</v>
      </c>
      <c r="K47" s="5">
        <v>0</v>
      </c>
      <c r="L47" s="5">
        <v>0</v>
      </c>
      <c r="M47" s="43">
        <v>0</v>
      </c>
      <c r="N47" s="15">
        <f t="shared" si="0"/>
        <v>-2</v>
      </c>
      <c r="O47" s="15">
        <f t="shared" si="1"/>
        <v>0</v>
      </c>
      <c r="P47" s="15">
        <f t="shared" si="2"/>
        <v>0</v>
      </c>
    </row>
    <row r="48" spans="1:27" ht="13.5" thickBot="1" x14ac:dyDescent="0.25">
      <c r="A48" s="31" t="s">
        <v>169</v>
      </c>
      <c r="B48" s="5">
        <v>0</v>
      </c>
      <c r="C48" s="5">
        <v>0</v>
      </c>
      <c r="D48" s="43">
        <v>0</v>
      </c>
      <c r="E48" s="5">
        <v>0</v>
      </c>
      <c r="F48" s="5">
        <v>0</v>
      </c>
      <c r="G48" s="43">
        <v>0</v>
      </c>
      <c r="H48" s="5">
        <v>0</v>
      </c>
      <c r="I48" s="5">
        <v>0</v>
      </c>
      <c r="J48" s="43">
        <v>0</v>
      </c>
      <c r="K48" s="5">
        <v>0</v>
      </c>
      <c r="L48" s="5">
        <v>0</v>
      </c>
      <c r="M48" s="43">
        <v>0</v>
      </c>
      <c r="N48" s="15">
        <f t="shared" si="0"/>
        <v>0</v>
      </c>
      <c r="O48" s="15">
        <f t="shared" si="1"/>
        <v>0</v>
      </c>
      <c r="P48" s="15">
        <f t="shared" si="2"/>
        <v>0</v>
      </c>
    </row>
    <row r="49" spans="1:16" thickBot="1" x14ac:dyDescent="0.25">
      <c r="A49" s="31" t="s">
        <v>216</v>
      </c>
      <c r="B49" s="5">
        <v>0</v>
      </c>
      <c r="C49" s="5">
        <v>0</v>
      </c>
      <c r="D49" s="43">
        <v>0</v>
      </c>
      <c r="E49" s="5">
        <v>0</v>
      </c>
      <c r="F49" s="5">
        <v>0</v>
      </c>
      <c r="G49" s="43">
        <v>0</v>
      </c>
      <c r="H49" s="5">
        <v>0</v>
      </c>
      <c r="I49" s="5">
        <v>0</v>
      </c>
      <c r="J49" s="43">
        <v>0</v>
      </c>
      <c r="K49" s="5">
        <v>0</v>
      </c>
      <c r="L49" s="5">
        <v>0</v>
      </c>
      <c r="M49" s="43">
        <v>0</v>
      </c>
      <c r="N49" s="15">
        <f t="shared" si="0"/>
        <v>0</v>
      </c>
      <c r="O49" s="15">
        <f t="shared" si="1"/>
        <v>0</v>
      </c>
      <c r="P49" s="15">
        <f t="shared" si="2"/>
        <v>0</v>
      </c>
    </row>
    <row r="50" spans="1:16" ht="13.5" thickBot="1" x14ac:dyDescent="0.25">
      <c r="A50" s="28" t="s">
        <v>170</v>
      </c>
      <c r="B50" s="18">
        <f>SUM(B51:B67)</f>
        <v>36</v>
      </c>
      <c r="C50" s="18">
        <f>SUM(C51:C67)</f>
        <v>0</v>
      </c>
      <c r="D50" s="43">
        <f>(C50-B50)/B50</f>
        <v>-1</v>
      </c>
      <c r="E50" s="18">
        <f>SUM(E51:E67)</f>
        <v>8</v>
      </c>
      <c r="F50" s="18">
        <f>SUM(F51:F67)</f>
        <v>0</v>
      </c>
      <c r="G50" s="43">
        <f>(F50-E50)/E50</f>
        <v>-1</v>
      </c>
      <c r="H50" s="18">
        <f>SUM(H51:H67)</f>
        <v>77954</v>
      </c>
      <c r="I50" s="18">
        <f>SUM(I51:I67)</f>
        <v>0</v>
      </c>
      <c r="J50" s="43">
        <f>(I50-H50)/H50</f>
        <v>-1</v>
      </c>
      <c r="K50" s="18">
        <f>SUM(K51:K67)</f>
        <v>2</v>
      </c>
      <c r="L50" s="18">
        <f>SUM(L51:L67)</f>
        <v>0</v>
      </c>
      <c r="M50" s="43">
        <f>(L50-K50)/K50</f>
        <v>-1</v>
      </c>
      <c r="N50" s="18">
        <f t="shared" si="0"/>
        <v>-36</v>
      </c>
      <c r="O50" s="18">
        <f t="shared" si="1"/>
        <v>-8</v>
      </c>
      <c r="P50" s="18">
        <f t="shared" si="2"/>
        <v>-2</v>
      </c>
    </row>
    <row r="51" spans="1:16" thickBot="1" x14ac:dyDescent="0.25">
      <c r="A51" s="31" t="s">
        <v>187</v>
      </c>
      <c r="B51" s="5">
        <v>9</v>
      </c>
      <c r="C51" s="5">
        <v>0</v>
      </c>
      <c r="D51" s="43">
        <f t="shared" ref="D51:D81" si="8">(C51-B51)/B51</f>
        <v>-1</v>
      </c>
      <c r="E51" s="5">
        <v>1</v>
      </c>
      <c r="F51" s="5">
        <v>0</v>
      </c>
      <c r="G51" s="43">
        <f t="shared" ref="G51:G81" si="9">(F51-E51)/E51</f>
        <v>-1</v>
      </c>
      <c r="H51" s="5">
        <v>2128</v>
      </c>
      <c r="I51" s="5">
        <v>0</v>
      </c>
      <c r="J51" s="43">
        <f t="shared" si="7"/>
        <v>-1</v>
      </c>
      <c r="K51" s="5">
        <v>0</v>
      </c>
      <c r="L51" s="5">
        <v>0</v>
      </c>
      <c r="M51" s="43">
        <v>0</v>
      </c>
      <c r="N51" s="15">
        <f t="shared" si="0"/>
        <v>-9</v>
      </c>
      <c r="O51" s="15">
        <f t="shared" si="1"/>
        <v>-1</v>
      </c>
      <c r="P51" s="15">
        <f t="shared" si="2"/>
        <v>0</v>
      </c>
    </row>
    <row r="52" spans="1:16" thickBot="1" x14ac:dyDescent="0.25">
      <c r="A52" s="31" t="s">
        <v>186</v>
      </c>
      <c r="B52" s="5">
        <v>0</v>
      </c>
      <c r="C52" s="5">
        <v>0</v>
      </c>
      <c r="D52" s="43" t="e">
        <f t="shared" si="8"/>
        <v>#DIV/0!</v>
      </c>
      <c r="E52" s="5">
        <v>0</v>
      </c>
      <c r="F52" s="5">
        <v>0</v>
      </c>
      <c r="G52" s="43" t="e">
        <f t="shared" si="9"/>
        <v>#DIV/0!</v>
      </c>
      <c r="H52" s="5">
        <v>0</v>
      </c>
      <c r="I52" s="5">
        <v>0</v>
      </c>
      <c r="J52" s="43" t="e">
        <f t="shared" si="7"/>
        <v>#DIV/0!</v>
      </c>
      <c r="K52" s="5">
        <v>0</v>
      </c>
      <c r="L52" s="5">
        <v>0</v>
      </c>
      <c r="M52" s="43">
        <v>0</v>
      </c>
      <c r="N52" s="15">
        <f t="shared" si="0"/>
        <v>0</v>
      </c>
      <c r="O52" s="15">
        <f t="shared" si="1"/>
        <v>0</v>
      </c>
      <c r="P52" s="15">
        <f t="shared" si="2"/>
        <v>0</v>
      </c>
    </row>
    <row r="53" spans="1:16" ht="13.5" thickBot="1" x14ac:dyDescent="0.25">
      <c r="A53" s="31" t="s">
        <v>171</v>
      </c>
      <c r="B53" s="5">
        <v>1</v>
      </c>
      <c r="C53" s="5">
        <v>0</v>
      </c>
      <c r="D53" s="43">
        <v>1</v>
      </c>
      <c r="E53" s="5">
        <v>0</v>
      </c>
      <c r="F53" s="5">
        <v>0</v>
      </c>
      <c r="G53" s="43">
        <v>0</v>
      </c>
      <c r="H53" s="5">
        <v>1105</v>
      </c>
      <c r="I53" s="5">
        <v>0</v>
      </c>
      <c r="J53" s="43">
        <v>1</v>
      </c>
      <c r="K53" s="5">
        <v>0</v>
      </c>
      <c r="L53" s="5">
        <v>0</v>
      </c>
      <c r="M53" s="43">
        <v>0</v>
      </c>
      <c r="N53" s="15">
        <f t="shared" si="0"/>
        <v>-1</v>
      </c>
      <c r="O53" s="15">
        <f t="shared" si="1"/>
        <v>0</v>
      </c>
      <c r="P53" s="15">
        <f t="shared" si="2"/>
        <v>0</v>
      </c>
    </row>
    <row r="54" spans="1:16" ht="13.5" thickBot="1" x14ac:dyDescent="0.25">
      <c r="A54" s="31" t="s">
        <v>172</v>
      </c>
      <c r="B54" s="5">
        <v>5</v>
      </c>
      <c r="C54" s="5">
        <v>0</v>
      </c>
      <c r="D54" s="43">
        <v>1</v>
      </c>
      <c r="E54" s="5">
        <v>1</v>
      </c>
      <c r="F54" s="5">
        <v>0</v>
      </c>
      <c r="G54" s="43">
        <v>1</v>
      </c>
      <c r="H54" s="5">
        <v>203</v>
      </c>
      <c r="I54" s="5">
        <v>0</v>
      </c>
      <c r="J54" s="43">
        <v>1</v>
      </c>
      <c r="K54" s="5">
        <v>0</v>
      </c>
      <c r="L54" s="5">
        <v>0</v>
      </c>
      <c r="M54" s="43">
        <v>0</v>
      </c>
      <c r="N54" s="15">
        <f t="shared" si="0"/>
        <v>-5</v>
      </c>
      <c r="O54" s="15">
        <f t="shared" si="1"/>
        <v>-1</v>
      </c>
      <c r="P54" s="15">
        <f t="shared" si="2"/>
        <v>0</v>
      </c>
    </row>
    <row r="55" spans="1:16" ht="13.5" thickBot="1" x14ac:dyDescent="0.25">
      <c r="A55" s="31" t="s">
        <v>173</v>
      </c>
      <c r="B55" s="5">
        <v>1</v>
      </c>
      <c r="C55" s="5">
        <v>0</v>
      </c>
      <c r="D55" s="43">
        <v>1</v>
      </c>
      <c r="E55" s="5">
        <v>0</v>
      </c>
      <c r="F55" s="5">
        <v>0</v>
      </c>
      <c r="G55" s="43">
        <v>0</v>
      </c>
      <c r="H55" s="5">
        <v>11012</v>
      </c>
      <c r="I55" s="5">
        <v>0</v>
      </c>
      <c r="J55" s="43">
        <v>1</v>
      </c>
      <c r="K55" s="5">
        <v>0</v>
      </c>
      <c r="L55" s="5">
        <v>0</v>
      </c>
      <c r="M55" s="43">
        <v>0</v>
      </c>
      <c r="N55" s="15">
        <f t="shared" si="0"/>
        <v>-1</v>
      </c>
      <c r="O55" s="15">
        <f t="shared" si="1"/>
        <v>0</v>
      </c>
      <c r="P55" s="15">
        <f t="shared" si="2"/>
        <v>0</v>
      </c>
    </row>
    <row r="56" spans="1:16" ht="13.5" thickBot="1" x14ac:dyDescent="0.25">
      <c r="A56" s="31" t="s">
        <v>174</v>
      </c>
      <c r="B56" s="5">
        <v>0</v>
      </c>
      <c r="C56" s="5">
        <v>0</v>
      </c>
      <c r="D56" s="43">
        <v>0</v>
      </c>
      <c r="E56" s="5">
        <v>0</v>
      </c>
      <c r="F56" s="5">
        <v>0</v>
      </c>
      <c r="G56" s="43">
        <v>0</v>
      </c>
      <c r="H56" s="5">
        <v>0</v>
      </c>
      <c r="I56" s="5">
        <v>0</v>
      </c>
      <c r="J56" s="43">
        <v>0</v>
      </c>
      <c r="K56" s="5">
        <v>0</v>
      </c>
      <c r="L56" s="5">
        <v>0</v>
      </c>
      <c r="M56" s="43">
        <v>0</v>
      </c>
      <c r="N56" s="15">
        <f t="shared" si="0"/>
        <v>0</v>
      </c>
      <c r="O56" s="15">
        <f t="shared" si="1"/>
        <v>0</v>
      </c>
      <c r="P56" s="15">
        <f t="shared" si="2"/>
        <v>0</v>
      </c>
    </row>
    <row r="57" spans="1:16" ht="13.5" thickBot="1" x14ac:dyDescent="0.25">
      <c r="A57" s="31" t="s">
        <v>175</v>
      </c>
      <c r="B57" s="5">
        <v>2</v>
      </c>
      <c r="C57" s="5">
        <v>0</v>
      </c>
      <c r="D57" s="43">
        <v>1</v>
      </c>
      <c r="E57" s="5">
        <v>0</v>
      </c>
      <c r="F57" s="5">
        <v>0</v>
      </c>
      <c r="G57" s="43">
        <v>0</v>
      </c>
      <c r="H57" s="5">
        <v>0</v>
      </c>
      <c r="I57" s="5">
        <v>0</v>
      </c>
      <c r="J57" s="43">
        <v>0</v>
      </c>
      <c r="K57" s="5">
        <v>0</v>
      </c>
      <c r="L57" s="5">
        <v>0</v>
      </c>
      <c r="M57" s="43">
        <v>0</v>
      </c>
      <c r="N57" s="15">
        <f t="shared" si="0"/>
        <v>-2</v>
      </c>
      <c r="O57" s="15">
        <f t="shared" si="1"/>
        <v>0</v>
      </c>
      <c r="P57" s="15">
        <f t="shared" si="2"/>
        <v>0</v>
      </c>
    </row>
    <row r="58" spans="1:16" ht="13.5" thickBot="1" x14ac:dyDescent="0.25">
      <c r="A58" s="31" t="s">
        <v>176</v>
      </c>
      <c r="B58" s="5">
        <v>3</v>
      </c>
      <c r="C58" s="5">
        <v>0</v>
      </c>
      <c r="D58" s="43">
        <f t="shared" si="8"/>
        <v>-1</v>
      </c>
      <c r="E58" s="5">
        <v>0</v>
      </c>
      <c r="F58" s="5">
        <v>0</v>
      </c>
      <c r="G58" s="43">
        <v>0</v>
      </c>
      <c r="H58" s="5">
        <v>371</v>
      </c>
      <c r="I58" s="5">
        <v>0</v>
      </c>
      <c r="J58" s="43">
        <v>1</v>
      </c>
      <c r="K58" s="5">
        <v>0</v>
      </c>
      <c r="L58" s="5">
        <v>0</v>
      </c>
      <c r="M58" s="43">
        <v>0</v>
      </c>
      <c r="N58" s="15">
        <f t="shared" si="0"/>
        <v>-3</v>
      </c>
      <c r="O58" s="15">
        <f t="shared" si="1"/>
        <v>0</v>
      </c>
      <c r="P58" s="15">
        <f t="shared" si="2"/>
        <v>0</v>
      </c>
    </row>
    <row r="59" spans="1:16" ht="13.5" thickBot="1" x14ac:dyDescent="0.25">
      <c r="A59" s="31" t="s">
        <v>177</v>
      </c>
      <c r="B59" s="5">
        <v>0</v>
      </c>
      <c r="C59" s="5">
        <v>0</v>
      </c>
      <c r="D59" s="43">
        <v>0</v>
      </c>
      <c r="E59" s="5">
        <v>0</v>
      </c>
      <c r="F59" s="5">
        <v>0</v>
      </c>
      <c r="G59" s="43">
        <v>0</v>
      </c>
      <c r="H59" s="5">
        <v>0</v>
      </c>
      <c r="I59" s="5">
        <v>0</v>
      </c>
      <c r="J59" s="43">
        <v>0</v>
      </c>
      <c r="K59" s="5">
        <v>0</v>
      </c>
      <c r="L59" s="5">
        <v>0</v>
      </c>
      <c r="M59" s="43">
        <v>0</v>
      </c>
      <c r="N59" s="15">
        <f t="shared" si="0"/>
        <v>0</v>
      </c>
      <c r="O59" s="15">
        <f t="shared" si="1"/>
        <v>0</v>
      </c>
      <c r="P59" s="15">
        <f t="shared" si="2"/>
        <v>0</v>
      </c>
    </row>
    <row r="60" spans="1:16" ht="13.5" thickBot="1" x14ac:dyDescent="0.25">
      <c r="A60" s="31" t="s">
        <v>178</v>
      </c>
      <c r="B60" s="5">
        <v>0</v>
      </c>
      <c r="C60" s="5">
        <v>0</v>
      </c>
      <c r="D60" s="43">
        <v>0</v>
      </c>
      <c r="E60" s="5">
        <v>0</v>
      </c>
      <c r="F60" s="5">
        <v>0</v>
      </c>
      <c r="G60" s="43">
        <v>0</v>
      </c>
      <c r="H60" s="5">
        <v>0</v>
      </c>
      <c r="I60" s="5">
        <v>0</v>
      </c>
      <c r="J60" s="43">
        <v>0</v>
      </c>
      <c r="K60" s="5">
        <v>0</v>
      </c>
      <c r="L60" s="5">
        <v>0</v>
      </c>
      <c r="M60" s="43">
        <v>0</v>
      </c>
      <c r="N60" s="15">
        <f t="shared" si="0"/>
        <v>0</v>
      </c>
      <c r="O60" s="15">
        <f t="shared" si="1"/>
        <v>0</v>
      </c>
      <c r="P60" s="15">
        <f t="shared" si="2"/>
        <v>0</v>
      </c>
    </row>
    <row r="61" spans="1:16" ht="13.5" thickBot="1" x14ac:dyDescent="0.25">
      <c r="A61" s="31" t="s">
        <v>179</v>
      </c>
      <c r="B61" s="5">
        <v>1</v>
      </c>
      <c r="C61" s="5">
        <v>0</v>
      </c>
      <c r="D61" s="43">
        <v>1</v>
      </c>
      <c r="E61" s="5">
        <v>0</v>
      </c>
      <c r="F61" s="5">
        <v>0</v>
      </c>
      <c r="G61" s="43">
        <v>0</v>
      </c>
      <c r="H61" s="5">
        <v>49665</v>
      </c>
      <c r="I61" s="5">
        <v>0</v>
      </c>
      <c r="J61" s="43">
        <v>1</v>
      </c>
      <c r="K61" s="5">
        <v>0</v>
      </c>
      <c r="L61" s="5">
        <v>0</v>
      </c>
      <c r="M61" s="43">
        <v>0</v>
      </c>
      <c r="N61" s="15">
        <f t="shared" si="0"/>
        <v>-1</v>
      </c>
      <c r="O61" s="15">
        <f t="shared" si="1"/>
        <v>0</v>
      </c>
      <c r="P61" s="15">
        <f t="shared" si="2"/>
        <v>0</v>
      </c>
    </row>
    <row r="62" spans="1:16" ht="13.5" thickBot="1" x14ac:dyDescent="0.25">
      <c r="A62" s="31" t="s">
        <v>180</v>
      </c>
      <c r="B62" s="5">
        <v>0</v>
      </c>
      <c r="C62" s="5">
        <v>0</v>
      </c>
      <c r="D62" s="43">
        <v>0</v>
      </c>
      <c r="E62" s="5">
        <v>0</v>
      </c>
      <c r="F62" s="5">
        <v>0</v>
      </c>
      <c r="G62" s="43">
        <v>0</v>
      </c>
      <c r="H62" s="5">
        <v>0</v>
      </c>
      <c r="I62" s="5">
        <v>0</v>
      </c>
      <c r="J62" s="43">
        <v>0</v>
      </c>
      <c r="K62" s="5">
        <v>0</v>
      </c>
      <c r="L62" s="5">
        <v>0</v>
      </c>
      <c r="M62" s="43">
        <v>0</v>
      </c>
      <c r="N62" s="15">
        <f t="shared" si="0"/>
        <v>0</v>
      </c>
      <c r="O62" s="15">
        <f t="shared" si="1"/>
        <v>0</v>
      </c>
      <c r="P62" s="15">
        <f t="shared" si="2"/>
        <v>0</v>
      </c>
    </row>
    <row r="63" spans="1:16" ht="13.5" thickBot="1" x14ac:dyDescent="0.25">
      <c r="A63" s="31" t="s">
        <v>181</v>
      </c>
      <c r="B63" s="5">
        <v>0</v>
      </c>
      <c r="C63" s="5">
        <v>0</v>
      </c>
      <c r="D63" s="43" t="e">
        <f t="shared" si="8"/>
        <v>#DIV/0!</v>
      </c>
      <c r="E63" s="5">
        <v>0</v>
      </c>
      <c r="F63" s="5">
        <v>0</v>
      </c>
      <c r="G63" s="43">
        <v>0</v>
      </c>
      <c r="H63" s="5">
        <v>0</v>
      </c>
      <c r="I63" s="5">
        <v>0</v>
      </c>
      <c r="J63" s="43">
        <v>0</v>
      </c>
      <c r="K63" s="5">
        <v>0</v>
      </c>
      <c r="L63" s="5">
        <v>0</v>
      </c>
      <c r="M63" s="43">
        <v>0</v>
      </c>
      <c r="N63" s="15">
        <f t="shared" si="0"/>
        <v>0</v>
      </c>
      <c r="O63" s="15">
        <f t="shared" si="1"/>
        <v>0</v>
      </c>
      <c r="P63" s="15">
        <f t="shared" si="2"/>
        <v>0</v>
      </c>
    </row>
    <row r="64" spans="1:16" ht="13.5" thickBot="1" x14ac:dyDescent="0.25">
      <c r="A64" s="31" t="s">
        <v>182</v>
      </c>
      <c r="B64" s="5">
        <v>1</v>
      </c>
      <c r="C64" s="5">
        <v>0</v>
      </c>
      <c r="D64" s="43">
        <f t="shared" si="8"/>
        <v>-1</v>
      </c>
      <c r="E64" s="5">
        <v>0</v>
      </c>
      <c r="F64" s="5">
        <v>0</v>
      </c>
      <c r="G64" s="43">
        <v>0</v>
      </c>
      <c r="H64" s="5">
        <v>0</v>
      </c>
      <c r="I64" s="5">
        <v>0</v>
      </c>
      <c r="J64" s="43">
        <v>0</v>
      </c>
      <c r="K64" s="5">
        <v>0</v>
      </c>
      <c r="L64" s="5">
        <v>0</v>
      </c>
      <c r="M64" s="43">
        <v>0</v>
      </c>
      <c r="N64" s="15">
        <f t="shared" si="0"/>
        <v>-1</v>
      </c>
      <c r="O64" s="15">
        <f t="shared" si="1"/>
        <v>0</v>
      </c>
      <c r="P64" s="15">
        <f t="shared" si="2"/>
        <v>0</v>
      </c>
    </row>
    <row r="65" spans="1:27" ht="13.5" thickBot="1" x14ac:dyDescent="0.25">
      <c r="A65" s="31" t="s">
        <v>183</v>
      </c>
      <c r="B65" s="5">
        <v>2</v>
      </c>
      <c r="C65" s="5">
        <v>0</v>
      </c>
      <c r="D65" s="43">
        <f t="shared" si="8"/>
        <v>-1</v>
      </c>
      <c r="E65" s="5">
        <v>0</v>
      </c>
      <c r="F65" s="5">
        <v>0</v>
      </c>
      <c r="G65" s="43">
        <v>0</v>
      </c>
      <c r="H65" s="5">
        <v>0</v>
      </c>
      <c r="I65" s="5">
        <v>0</v>
      </c>
      <c r="J65" s="43">
        <v>0</v>
      </c>
      <c r="K65" s="5">
        <v>0</v>
      </c>
      <c r="L65" s="5">
        <v>0</v>
      </c>
      <c r="M65" s="43">
        <v>0</v>
      </c>
      <c r="N65" s="15">
        <f t="shared" si="0"/>
        <v>-2</v>
      </c>
      <c r="O65" s="15">
        <f t="shared" si="1"/>
        <v>0</v>
      </c>
      <c r="P65" s="15">
        <f t="shared" si="2"/>
        <v>0</v>
      </c>
    </row>
    <row r="66" spans="1:27" ht="13.5" thickBot="1" x14ac:dyDescent="0.25">
      <c r="A66" s="31" t="s">
        <v>184</v>
      </c>
      <c r="B66" s="5">
        <v>2</v>
      </c>
      <c r="C66" s="5">
        <v>0</v>
      </c>
      <c r="D66" s="43">
        <f t="shared" si="8"/>
        <v>-1</v>
      </c>
      <c r="E66" s="5">
        <v>2</v>
      </c>
      <c r="F66" s="5">
        <v>0</v>
      </c>
      <c r="G66" s="43">
        <f t="shared" si="9"/>
        <v>-1</v>
      </c>
      <c r="H66" s="5">
        <v>3</v>
      </c>
      <c r="I66" s="5">
        <v>0</v>
      </c>
      <c r="J66" s="43">
        <f t="shared" si="7"/>
        <v>-1</v>
      </c>
      <c r="K66" s="5">
        <v>1</v>
      </c>
      <c r="L66" s="5">
        <v>0</v>
      </c>
      <c r="M66" s="43">
        <v>0</v>
      </c>
      <c r="N66" s="15">
        <f t="shared" si="0"/>
        <v>-2</v>
      </c>
      <c r="O66" s="15">
        <f t="shared" si="1"/>
        <v>-2</v>
      </c>
      <c r="P66" s="15">
        <f t="shared" si="2"/>
        <v>-1</v>
      </c>
    </row>
    <row r="67" spans="1:27" ht="13.5" thickBot="1" x14ac:dyDescent="0.25">
      <c r="A67" s="31" t="s">
        <v>185</v>
      </c>
      <c r="B67" s="5">
        <v>9</v>
      </c>
      <c r="C67" s="5">
        <v>0</v>
      </c>
      <c r="D67" s="43">
        <v>1</v>
      </c>
      <c r="E67" s="5">
        <v>4</v>
      </c>
      <c r="F67" s="5">
        <v>0</v>
      </c>
      <c r="G67" s="43">
        <v>1</v>
      </c>
      <c r="H67" s="5">
        <v>13467</v>
      </c>
      <c r="I67" s="5">
        <v>0</v>
      </c>
      <c r="J67" s="43">
        <v>1</v>
      </c>
      <c r="K67" s="5">
        <v>1</v>
      </c>
      <c r="L67" s="5">
        <v>0</v>
      </c>
      <c r="M67" s="43">
        <v>1</v>
      </c>
      <c r="N67" s="15">
        <f t="shared" si="0"/>
        <v>-9</v>
      </c>
      <c r="O67" s="15">
        <f t="shared" si="1"/>
        <v>-4</v>
      </c>
      <c r="P67" s="15">
        <f t="shared" si="2"/>
        <v>-1</v>
      </c>
    </row>
    <row r="68" spans="1:27" thickBot="1" x14ac:dyDescent="0.25">
      <c r="A68" s="28" t="s">
        <v>189</v>
      </c>
      <c r="B68" s="18">
        <f>SUM(B69:B72)</f>
        <v>0</v>
      </c>
      <c r="C68" s="18">
        <f>SUM(C69:C72)</f>
        <v>0</v>
      </c>
      <c r="D68" s="43">
        <v>0</v>
      </c>
      <c r="E68" s="18">
        <f>SUM(E69:E72)</f>
        <v>0</v>
      </c>
      <c r="F68" s="18">
        <f>SUM(F69:F72)</f>
        <v>0</v>
      </c>
      <c r="G68" s="43">
        <v>0</v>
      </c>
      <c r="H68" s="18">
        <f>SUM(H69:H72)</f>
        <v>0</v>
      </c>
      <c r="I68" s="18">
        <f>SUM(I69:I72)</f>
        <v>0</v>
      </c>
      <c r="J68" s="43">
        <v>0</v>
      </c>
      <c r="K68" s="18">
        <f>SUM(K69:K72)</f>
        <v>0</v>
      </c>
      <c r="L68" s="18">
        <f>SUM(L69:L72)</f>
        <v>0</v>
      </c>
      <c r="M68" s="43">
        <v>0</v>
      </c>
      <c r="N68" s="18">
        <f t="shared" si="0"/>
        <v>0</v>
      </c>
      <c r="O68" s="18">
        <f t="shared" si="1"/>
        <v>0</v>
      </c>
      <c r="P68" s="18">
        <f t="shared" si="2"/>
        <v>0</v>
      </c>
    </row>
    <row r="69" spans="1:27" ht="13.5" thickBot="1" x14ac:dyDescent="0.25">
      <c r="A69" s="31" t="s">
        <v>190</v>
      </c>
      <c r="B69" s="5">
        <v>0</v>
      </c>
      <c r="C69" s="5">
        <v>0</v>
      </c>
      <c r="D69" s="43">
        <v>0</v>
      </c>
      <c r="E69" s="5">
        <v>0</v>
      </c>
      <c r="F69" s="5">
        <v>0</v>
      </c>
      <c r="G69" s="43">
        <v>0</v>
      </c>
      <c r="H69" s="5">
        <v>0</v>
      </c>
      <c r="I69" s="5">
        <v>0</v>
      </c>
      <c r="J69" s="43">
        <v>0</v>
      </c>
      <c r="K69" s="5">
        <v>0</v>
      </c>
      <c r="L69" s="5">
        <v>0</v>
      </c>
      <c r="M69" s="43">
        <v>0</v>
      </c>
      <c r="N69" s="15">
        <f t="shared" ref="N69:N94" si="10">C69-B69</f>
        <v>0</v>
      </c>
      <c r="O69" s="15">
        <f t="shared" ref="O69:O94" si="11">F69-E69</f>
        <v>0</v>
      </c>
      <c r="P69" s="15">
        <f t="shared" ref="P69:P94" si="12">L69-K69</f>
        <v>0</v>
      </c>
    </row>
    <row r="70" spans="1:27" ht="13.5" thickBot="1" x14ac:dyDescent="0.25">
      <c r="A70" s="31" t="s">
        <v>191</v>
      </c>
      <c r="B70" s="5">
        <v>0</v>
      </c>
      <c r="C70" s="5">
        <v>0</v>
      </c>
      <c r="D70" s="43">
        <v>0</v>
      </c>
      <c r="E70" s="5">
        <v>0</v>
      </c>
      <c r="F70" s="5">
        <v>0</v>
      </c>
      <c r="G70" s="43">
        <v>0</v>
      </c>
      <c r="H70" s="5">
        <v>0</v>
      </c>
      <c r="I70" s="5">
        <v>0</v>
      </c>
      <c r="J70" s="43">
        <v>0</v>
      </c>
      <c r="K70" s="5">
        <v>0</v>
      </c>
      <c r="L70" s="5">
        <v>0</v>
      </c>
      <c r="M70" s="43">
        <v>0</v>
      </c>
      <c r="N70" s="15">
        <f t="shared" si="10"/>
        <v>0</v>
      </c>
      <c r="O70" s="15">
        <f t="shared" si="11"/>
        <v>0</v>
      </c>
      <c r="P70" s="15">
        <f t="shared" si="12"/>
        <v>0</v>
      </c>
    </row>
    <row r="71" spans="1:27" ht="13.5" thickBot="1" x14ac:dyDescent="0.25">
      <c r="A71" s="31" t="s">
        <v>192</v>
      </c>
      <c r="B71" s="5">
        <v>0</v>
      </c>
      <c r="C71" s="5">
        <v>0</v>
      </c>
      <c r="D71" s="43">
        <v>0</v>
      </c>
      <c r="E71" s="5">
        <v>0</v>
      </c>
      <c r="F71" s="5">
        <v>0</v>
      </c>
      <c r="G71" s="43">
        <v>0</v>
      </c>
      <c r="H71" s="5">
        <v>0</v>
      </c>
      <c r="I71" s="5">
        <v>0</v>
      </c>
      <c r="J71" s="43">
        <v>0</v>
      </c>
      <c r="K71" s="5">
        <v>0</v>
      </c>
      <c r="L71" s="5">
        <v>0</v>
      </c>
      <c r="M71" s="43">
        <v>0</v>
      </c>
      <c r="N71" s="15">
        <f t="shared" si="10"/>
        <v>0</v>
      </c>
      <c r="O71" s="15">
        <f t="shared" si="11"/>
        <v>0</v>
      </c>
      <c r="P71" s="15">
        <f t="shared" si="12"/>
        <v>0</v>
      </c>
    </row>
    <row r="72" spans="1:27" ht="13.5" thickBot="1" x14ac:dyDescent="0.25">
      <c r="A72" s="31" t="s">
        <v>193</v>
      </c>
      <c r="B72" s="5">
        <v>0</v>
      </c>
      <c r="C72" s="5">
        <v>0</v>
      </c>
      <c r="D72" s="43">
        <v>0</v>
      </c>
      <c r="E72" s="5">
        <v>0</v>
      </c>
      <c r="F72" s="5">
        <v>0</v>
      </c>
      <c r="G72" s="43">
        <v>0</v>
      </c>
      <c r="H72" s="5">
        <v>0</v>
      </c>
      <c r="I72" s="5">
        <v>0</v>
      </c>
      <c r="J72" s="43">
        <v>0</v>
      </c>
      <c r="K72" s="5">
        <v>0</v>
      </c>
      <c r="L72" s="5">
        <v>0</v>
      </c>
      <c r="M72" s="43">
        <v>0</v>
      </c>
      <c r="N72" s="15">
        <f t="shared" si="10"/>
        <v>0</v>
      </c>
      <c r="O72" s="15">
        <f t="shared" si="11"/>
        <v>0</v>
      </c>
      <c r="P72" s="15">
        <f t="shared" si="12"/>
        <v>0</v>
      </c>
    </row>
    <row r="73" spans="1:27" ht="13.5" thickBot="1" x14ac:dyDescent="0.25">
      <c r="A73" s="28" t="s">
        <v>194</v>
      </c>
      <c r="B73" s="18">
        <f>SUM(B74:B79)</f>
        <v>9</v>
      </c>
      <c r="C73" s="18">
        <f>SUM(C74:C79)</f>
        <v>0</v>
      </c>
      <c r="D73" s="43">
        <f t="shared" si="8"/>
        <v>-1</v>
      </c>
      <c r="E73" s="18">
        <f>SUM(E74:E79)</f>
        <v>9</v>
      </c>
      <c r="F73" s="18">
        <f>SUM(F74:F79)</f>
        <v>0</v>
      </c>
      <c r="G73" s="43">
        <f t="shared" si="9"/>
        <v>-1</v>
      </c>
      <c r="H73" s="18">
        <f>SUM(H74:H79)</f>
        <v>55279</v>
      </c>
      <c r="I73" s="18">
        <f>SUM(I74:I79)</f>
        <v>0</v>
      </c>
      <c r="J73" s="43">
        <f t="shared" si="7"/>
        <v>-1</v>
      </c>
      <c r="K73" s="18">
        <f>SUM(K74:K79)</f>
        <v>381</v>
      </c>
      <c r="L73" s="18">
        <f>SUM(L74:L79)</f>
        <v>0</v>
      </c>
      <c r="M73" s="43">
        <f t="shared" ref="M73:M81" si="13">(L73-K73)/K73</f>
        <v>-1</v>
      </c>
      <c r="N73" s="18">
        <f t="shared" si="10"/>
        <v>-9</v>
      </c>
      <c r="O73" s="18">
        <f t="shared" si="11"/>
        <v>-9</v>
      </c>
      <c r="P73" s="18">
        <f t="shared" si="12"/>
        <v>-381</v>
      </c>
      <c r="AA73" s="13" t="s">
        <v>226</v>
      </c>
    </row>
    <row r="74" spans="1:27" thickBot="1" x14ac:dyDescent="0.25">
      <c r="A74" s="31" t="s">
        <v>200</v>
      </c>
      <c r="B74" s="5">
        <v>9</v>
      </c>
      <c r="C74" s="5">
        <v>0</v>
      </c>
      <c r="D74" s="43">
        <f t="shared" si="8"/>
        <v>-1</v>
      </c>
      <c r="E74" s="5">
        <v>9</v>
      </c>
      <c r="F74" s="5">
        <v>0</v>
      </c>
      <c r="G74" s="43">
        <f t="shared" si="9"/>
        <v>-1</v>
      </c>
      <c r="H74" s="5">
        <v>55279</v>
      </c>
      <c r="I74" s="5">
        <v>0</v>
      </c>
      <c r="J74" s="43">
        <f t="shared" si="7"/>
        <v>-1</v>
      </c>
      <c r="K74" s="5">
        <v>381</v>
      </c>
      <c r="L74" s="5">
        <v>0</v>
      </c>
      <c r="M74" s="43">
        <f t="shared" si="13"/>
        <v>-1</v>
      </c>
      <c r="N74" s="15">
        <f t="shared" si="10"/>
        <v>-9</v>
      </c>
      <c r="O74" s="15">
        <f t="shared" si="11"/>
        <v>-9</v>
      </c>
      <c r="P74" s="15">
        <f t="shared" si="12"/>
        <v>-381</v>
      </c>
    </row>
    <row r="75" spans="1:27" ht="13.5" thickBot="1" x14ac:dyDescent="0.25">
      <c r="A75" s="31" t="s">
        <v>195</v>
      </c>
      <c r="B75" s="5">
        <v>0</v>
      </c>
      <c r="C75" s="5">
        <v>0</v>
      </c>
      <c r="D75" s="43">
        <v>0</v>
      </c>
      <c r="E75" s="5">
        <v>0</v>
      </c>
      <c r="F75" s="5">
        <v>0</v>
      </c>
      <c r="G75" s="43">
        <v>0</v>
      </c>
      <c r="H75" s="5">
        <v>0</v>
      </c>
      <c r="I75" s="5">
        <v>0</v>
      </c>
      <c r="J75" s="43">
        <v>0</v>
      </c>
      <c r="K75" s="5">
        <v>0</v>
      </c>
      <c r="L75" s="5">
        <v>0</v>
      </c>
      <c r="M75" s="43">
        <v>0</v>
      </c>
      <c r="N75" s="15">
        <f t="shared" si="10"/>
        <v>0</v>
      </c>
      <c r="O75" s="15">
        <f t="shared" si="11"/>
        <v>0</v>
      </c>
      <c r="P75" s="15">
        <f t="shared" si="12"/>
        <v>0</v>
      </c>
    </row>
    <row r="76" spans="1:27" ht="13.5" thickBot="1" x14ac:dyDescent="0.25">
      <c r="A76" s="31" t="s">
        <v>196</v>
      </c>
      <c r="B76" s="5">
        <v>0</v>
      </c>
      <c r="C76" s="5">
        <v>0</v>
      </c>
      <c r="D76" s="43">
        <v>-1</v>
      </c>
      <c r="E76" s="5">
        <v>0</v>
      </c>
      <c r="F76" s="5">
        <v>0</v>
      </c>
      <c r="G76" s="43">
        <v>0</v>
      </c>
      <c r="H76" s="5">
        <v>0</v>
      </c>
      <c r="I76" s="5">
        <v>0</v>
      </c>
      <c r="J76" s="43">
        <v>0</v>
      </c>
      <c r="K76" s="5">
        <v>0</v>
      </c>
      <c r="L76" s="5">
        <v>0</v>
      </c>
      <c r="M76" s="43">
        <v>-1</v>
      </c>
      <c r="N76" s="15">
        <f t="shared" si="10"/>
        <v>0</v>
      </c>
      <c r="O76" s="15">
        <f t="shared" si="11"/>
        <v>0</v>
      </c>
      <c r="P76" s="15">
        <f t="shared" si="12"/>
        <v>0</v>
      </c>
    </row>
    <row r="77" spans="1:27" ht="13.5" thickBot="1" x14ac:dyDescent="0.25">
      <c r="A77" s="31" t="s">
        <v>197</v>
      </c>
      <c r="B77" s="5">
        <v>0</v>
      </c>
      <c r="C77" s="5">
        <v>0</v>
      </c>
      <c r="D77" s="43">
        <v>0</v>
      </c>
      <c r="E77" s="5">
        <v>0</v>
      </c>
      <c r="F77" s="5">
        <v>0</v>
      </c>
      <c r="G77" s="43">
        <v>0</v>
      </c>
      <c r="H77" s="5">
        <v>0</v>
      </c>
      <c r="I77" s="5">
        <v>0</v>
      </c>
      <c r="J77" s="43">
        <v>0</v>
      </c>
      <c r="K77" s="5">
        <v>0</v>
      </c>
      <c r="L77" s="5">
        <v>0</v>
      </c>
      <c r="M77" s="43">
        <v>0</v>
      </c>
      <c r="N77" s="15">
        <f t="shared" si="10"/>
        <v>0</v>
      </c>
      <c r="O77" s="15">
        <f t="shared" si="11"/>
        <v>0</v>
      </c>
      <c r="P77" s="15">
        <f t="shared" si="12"/>
        <v>0</v>
      </c>
    </row>
    <row r="78" spans="1:27" ht="13.5" thickBot="1" x14ac:dyDescent="0.25">
      <c r="A78" s="31" t="s">
        <v>198</v>
      </c>
      <c r="B78" s="5">
        <v>0</v>
      </c>
      <c r="C78" s="5">
        <v>0</v>
      </c>
      <c r="D78" s="43">
        <v>0</v>
      </c>
      <c r="E78" s="5">
        <v>0</v>
      </c>
      <c r="F78" s="5">
        <v>0</v>
      </c>
      <c r="G78" s="43">
        <v>0</v>
      </c>
      <c r="H78" s="5">
        <v>0</v>
      </c>
      <c r="I78" s="5">
        <v>0</v>
      </c>
      <c r="J78" s="43">
        <v>0</v>
      </c>
      <c r="K78" s="5">
        <v>0</v>
      </c>
      <c r="L78" s="5">
        <v>0</v>
      </c>
      <c r="M78" s="43">
        <v>0</v>
      </c>
      <c r="N78" s="15">
        <f t="shared" si="10"/>
        <v>0</v>
      </c>
      <c r="O78" s="15">
        <f t="shared" si="11"/>
        <v>0</v>
      </c>
      <c r="P78" s="15">
        <f t="shared" si="12"/>
        <v>0</v>
      </c>
    </row>
    <row r="79" spans="1:27" ht="13.5" thickBot="1" x14ac:dyDescent="0.25">
      <c r="A79" s="31" t="s">
        <v>199</v>
      </c>
      <c r="B79" s="5">
        <v>0</v>
      </c>
      <c r="C79" s="5">
        <v>0</v>
      </c>
      <c r="D79" s="43">
        <v>0</v>
      </c>
      <c r="E79" s="5">
        <v>0</v>
      </c>
      <c r="F79" s="5">
        <v>0</v>
      </c>
      <c r="G79" s="43">
        <v>0</v>
      </c>
      <c r="H79" s="5">
        <v>0</v>
      </c>
      <c r="I79" s="5">
        <v>0</v>
      </c>
      <c r="J79" s="43">
        <v>0</v>
      </c>
      <c r="K79" s="5">
        <v>0</v>
      </c>
      <c r="L79" s="5">
        <v>0</v>
      </c>
      <c r="M79" s="43">
        <v>0</v>
      </c>
      <c r="N79" s="15">
        <f t="shared" si="10"/>
        <v>0</v>
      </c>
      <c r="O79" s="15">
        <f t="shared" si="11"/>
        <v>0</v>
      </c>
      <c r="P79" s="15">
        <f t="shared" si="12"/>
        <v>0</v>
      </c>
    </row>
    <row r="80" spans="1:27" ht="13.5" thickBot="1" x14ac:dyDescent="0.25">
      <c r="A80" s="28" t="s">
        <v>201</v>
      </c>
      <c r="B80" s="18">
        <f>SUM(B81:B82)</f>
        <v>9</v>
      </c>
      <c r="C80" s="18">
        <f>SUM(C81:C82)</f>
        <v>0</v>
      </c>
      <c r="D80" s="43">
        <f t="shared" si="8"/>
        <v>-1</v>
      </c>
      <c r="E80" s="18">
        <f>SUM(E81:E82)</f>
        <v>1</v>
      </c>
      <c r="F80" s="18">
        <f>SUM(F81:F82)</f>
        <v>0</v>
      </c>
      <c r="G80" s="43">
        <f t="shared" si="9"/>
        <v>-1</v>
      </c>
      <c r="H80" s="18">
        <f>SUM(H81:H82)</f>
        <v>250</v>
      </c>
      <c r="I80" s="18">
        <f>SUM(I81:I82)</f>
        <v>0</v>
      </c>
      <c r="J80" s="43">
        <f t="shared" si="7"/>
        <v>-1</v>
      </c>
      <c r="K80" s="18">
        <f>SUM(K81:K82)</f>
        <v>6</v>
      </c>
      <c r="L80" s="18">
        <f>SUM(L81:L82)</f>
        <v>0</v>
      </c>
      <c r="M80" s="43">
        <f t="shared" si="13"/>
        <v>-1</v>
      </c>
      <c r="N80" s="18">
        <f t="shared" si="10"/>
        <v>-9</v>
      </c>
      <c r="O80" s="18">
        <f t="shared" si="11"/>
        <v>-1</v>
      </c>
      <c r="P80" s="18">
        <f t="shared" si="12"/>
        <v>-6</v>
      </c>
    </row>
    <row r="81" spans="1:16" thickBot="1" x14ac:dyDescent="0.25">
      <c r="A81" s="31" t="s">
        <v>203</v>
      </c>
      <c r="B81" s="5">
        <v>9</v>
      </c>
      <c r="C81" s="5">
        <v>0</v>
      </c>
      <c r="D81" s="43">
        <f t="shared" si="8"/>
        <v>-1</v>
      </c>
      <c r="E81" s="5">
        <v>1</v>
      </c>
      <c r="F81" s="5">
        <v>0</v>
      </c>
      <c r="G81" s="43">
        <f t="shared" si="9"/>
        <v>-1</v>
      </c>
      <c r="H81" s="5">
        <v>250</v>
      </c>
      <c r="I81" s="5">
        <v>0</v>
      </c>
      <c r="J81" s="43">
        <f t="shared" si="7"/>
        <v>-1</v>
      </c>
      <c r="K81" s="5">
        <v>6</v>
      </c>
      <c r="L81" s="5">
        <v>0</v>
      </c>
      <c r="M81" s="43">
        <f t="shared" si="13"/>
        <v>-1</v>
      </c>
      <c r="N81" s="15">
        <f t="shared" si="10"/>
        <v>-9</v>
      </c>
      <c r="O81" s="15">
        <f t="shared" si="11"/>
        <v>-1</v>
      </c>
      <c r="P81" s="15">
        <f t="shared" si="12"/>
        <v>-6</v>
      </c>
    </row>
    <row r="82" spans="1:16" ht="13.5" thickBot="1" x14ac:dyDescent="0.25">
      <c r="A82" s="31" t="s">
        <v>202</v>
      </c>
      <c r="B82" s="5">
        <v>0</v>
      </c>
      <c r="C82" s="5">
        <v>0</v>
      </c>
      <c r="D82" s="43">
        <v>0</v>
      </c>
      <c r="E82" s="5">
        <v>0</v>
      </c>
      <c r="F82" s="5">
        <v>0</v>
      </c>
      <c r="G82" s="43">
        <v>0</v>
      </c>
      <c r="H82" s="5">
        <v>0</v>
      </c>
      <c r="I82" s="5">
        <v>0</v>
      </c>
      <c r="J82" s="43">
        <v>0</v>
      </c>
      <c r="K82" s="5">
        <v>0</v>
      </c>
      <c r="L82" s="5">
        <v>0</v>
      </c>
      <c r="M82" s="43">
        <v>0</v>
      </c>
      <c r="N82" s="15">
        <f t="shared" si="10"/>
        <v>0</v>
      </c>
      <c r="O82" s="15">
        <f t="shared" si="11"/>
        <v>0</v>
      </c>
      <c r="P82" s="15">
        <f t="shared" si="12"/>
        <v>0</v>
      </c>
    </row>
    <row r="83" spans="1:16" ht="13.5" thickBot="1" x14ac:dyDescent="0.25">
      <c r="A83" s="28" t="s">
        <v>204</v>
      </c>
      <c r="B83" s="18">
        <f>SUM(B84:B87)</f>
        <v>0</v>
      </c>
      <c r="C83" s="18">
        <f>SUM(C84:C87)</f>
        <v>0</v>
      </c>
      <c r="D83" s="43">
        <v>0</v>
      </c>
      <c r="E83" s="18">
        <f>SUM(E84:E87)</f>
        <v>0</v>
      </c>
      <c r="F83" s="18">
        <f>SUM(F84:F87)</f>
        <v>0</v>
      </c>
      <c r="G83" s="43">
        <v>0</v>
      </c>
      <c r="H83" s="18">
        <f>SUM(H84:H87)</f>
        <v>0</v>
      </c>
      <c r="I83" s="18">
        <f>SUM(I84:I87)</f>
        <v>0</v>
      </c>
      <c r="J83" s="43">
        <v>0</v>
      </c>
      <c r="K83" s="18">
        <f>SUM(K84:K87)</f>
        <v>0</v>
      </c>
      <c r="L83" s="18">
        <f>SUM(L84:L87)</f>
        <v>0</v>
      </c>
      <c r="M83" s="43">
        <v>0</v>
      </c>
      <c r="N83" s="18">
        <f t="shared" si="10"/>
        <v>0</v>
      </c>
      <c r="O83" s="18">
        <f t="shared" si="11"/>
        <v>0</v>
      </c>
      <c r="P83" s="18">
        <f t="shared" si="12"/>
        <v>0</v>
      </c>
    </row>
    <row r="84" spans="1:16" thickBot="1" x14ac:dyDescent="0.25">
      <c r="A84" s="31" t="s">
        <v>205</v>
      </c>
      <c r="B84" s="5">
        <v>0</v>
      </c>
      <c r="C84" s="5">
        <v>0</v>
      </c>
      <c r="D84" s="43">
        <v>0</v>
      </c>
      <c r="E84" s="5">
        <v>0</v>
      </c>
      <c r="F84" s="5">
        <v>0</v>
      </c>
      <c r="G84" s="43">
        <v>0</v>
      </c>
      <c r="H84" s="5">
        <v>0</v>
      </c>
      <c r="I84" s="5">
        <v>0</v>
      </c>
      <c r="J84" s="43">
        <v>0</v>
      </c>
      <c r="K84" s="5">
        <v>0</v>
      </c>
      <c r="L84" s="5">
        <v>0</v>
      </c>
      <c r="M84" s="43">
        <v>0</v>
      </c>
      <c r="N84" s="15">
        <f t="shared" si="10"/>
        <v>0</v>
      </c>
      <c r="O84" s="15">
        <f t="shared" si="11"/>
        <v>0</v>
      </c>
      <c r="P84" s="15">
        <f t="shared" si="12"/>
        <v>0</v>
      </c>
    </row>
    <row r="85" spans="1:16" thickBot="1" x14ac:dyDescent="0.25">
      <c r="A85" s="31" t="s">
        <v>206</v>
      </c>
      <c r="B85" s="5">
        <v>0</v>
      </c>
      <c r="C85" s="5">
        <v>0</v>
      </c>
      <c r="D85" s="43">
        <v>0</v>
      </c>
      <c r="E85" s="5">
        <v>0</v>
      </c>
      <c r="F85" s="5">
        <v>0</v>
      </c>
      <c r="G85" s="43">
        <v>0</v>
      </c>
      <c r="H85" s="5">
        <v>0</v>
      </c>
      <c r="I85" s="5">
        <v>0</v>
      </c>
      <c r="J85" s="43">
        <v>0</v>
      </c>
      <c r="K85" s="5">
        <v>0</v>
      </c>
      <c r="L85" s="5">
        <v>0</v>
      </c>
      <c r="M85" s="43">
        <v>0</v>
      </c>
      <c r="N85" s="15">
        <f t="shared" si="10"/>
        <v>0</v>
      </c>
      <c r="O85" s="15">
        <f t="shared" si="11"/>
        <v>0</v>
      </c>
      <c r="P85" s="15">
        <f t="shared" si="12"/>
        <v>0</v>
      </c>
    </row>
    <row r="86" spans="1:16" ht="13.5" thickBot="1" x14ac:dyDescent="0.25">
      <c r="A86" s="31" t="s">
        <v>207</v>
      </c>
      <c r="B86" s="5">
        <v>0</v>
      </c>
      <c r="C86" s="5">
        <v>0</v>
      </c>
      <c r="D86" s="43">
        <v>0</v>
      </c>
      <c r="E86" s="5">
        <v>0</v>
      </c>
      <c r="F86" s="5">
        <v>0</v>
      </c>
      <c r="G86" s="43">
        <v>0</v>
      </c>
      <c r="H86" s="5">
        <v>0</v>
      </c>
      <c r="I86" s="5">
        <v>0</v>
      </c>
      <c r="J86" s="43">
        <v>0</v>
      </c>
      <c r="K86" s="5">
        <v>0</v>
      </c>
      <c r="L86" s="5">
        <v>0</v>
      </c>
      <c r="M86" s="43">
        <v>0</v>
      </c>
      <c r="N86" s="15">
        <f t="shared" si="10"/>
        <v>0</v>
      </c>
      <c r="O86" s="15">
        <f t="shared" si="11"/>
        <v>0</v>
      </c>
      <c r="P86" s="15">
        <f t="shared" si="12"/>
        <v>0</v>
      </c>
    </row>
    <row r="87" spans="1:16" ht="13.5" thickBot="1" x14ac:dyDescent="0.25">
      <c r="A87" s="31" t="s">
        <v>208</v>
      </c>
      <c r="B87" s="5">
        <v>0</v>
      </c>
      <c r="C87" s="5">
        <v>0</v>
      </c>
      <c r="D87" s="43">
        <v>0</v>
      </c>
      <c r="E87" s="5">
        <v>0</v>
      </c>
      <c r="F87" s="5">
        <v>0</v>
      </c>
      <c r="G87" s="43">
        <v>0</v>
      </c>
      <c r="H87" s="5">
        <v>0</v>
      </c>
      <c r="I87" s="5">
        <v>0</v>
      </c>
      <c r="J87" s="43">
        <v>0</v>
      </c>
      <c r="K87" s="5">
        <v>0</v>
      </c>
      <c r="L87" s="5">
        <v>0</v>
      </c>
      <c r="M87" s="43">
        <v>0</v>
      </c>
      <c r="N87" s="15">
        <f t="shared" si="10"/>
        <v>0</v>
      </c>
      <c r="O87" s="15">
        <f t="shared" si="11"/>
        <v>0</v>
      </c>
      <c r="P87" s="15">
        <f t="shared" si="12"/>
        <v>0</v>
      </c>
    </row>
    <row r="88" spans="1:16" ht="13.5" thickBot="1" x14ac:dyDescent="0.25">
      <c r="A88" s="33" t="s">
        <v>13</v>
      </c>
      <c r="B88" s="33">
        <f>SUM(B42,B45,B50,B68,B73,B80,B83)</f>
        <v>57</v>
      </c>
      <c r="C88" s="33">
        <f>SUM(C42,C45,C50,C68,C73,C80,C83)</f>
        <v>0</v>
      </c>
      <c r="D88" s="43">
        <f>(C88-B88)/B88</f>
        <v>-1</v>
      </c>
      <c r="E88" s="33">
        <f>SUM(E42,E45,E68,E73,E80,E83)</f>
        <v>10</v>
      </c>
      <c r="F88" s="33">
        <f>SUM(F42,F45,F68,F73,F80,F83)</f>
        <v>0</v>
      </c>
      <c r="G88" s="43">
        <f>(F88-E88)/E88</f>
        <v>-1</v>
      </c>
      <c r="H88" s="33">
        <f>SUM(H42,H45,H68,H73,H80,H83)</f>
        <v>56408</v>
      </c>
      <c r="I88" s="33">
        <f>SUM(I42,I45,I68,I73,I80,I83)</f>
        <v>0</v>
      </c>
      <c r="J88" s="43">
        <f>(I88-H88)/H88</f>
        <v>-1</v>
      </c>
      <c r="K88" s="33">
        <f>SUM(K42,K45,K68,K73,K80,K83)</f>
        <v>387</v>
      </c>
      <c r="L88" s="33">
        <f>SUM(L42,L45,L68,L73,L80,L83)</f>
        <v>0</v>
      </c>
      <c r="M88" s="43">
        <f>(L88-K88)/K88</f>
        <v>-1</v>
      </c>
      <c r="N88" s="33">
        <f t="shared" si="10"/>
        <v>-57</v>
      </c>
      <c r="O88" s="33">
        <f t="shared" si="11"/>
        <v>-10</v>
      </c>
      <c r="P88" s="33">
        <f t="shared" si="12"/>
        <v>-387</v>
      </c>
    </row>
    <row r="89" spans="1:16" ht="13.5" thickBot="1" x14ac:dyDescent="0.25">
      <c r="A89" s="241" t="s">
        <v>212</v>
      </c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</row>
    <row r="90" spans="1:16" ht="13.5" thickBot="1" x14ac:dyDescent="0.25">
      <c r="A90" s="28" t="s">
        <v>211</v>
      </c>
      <c r="B90" s="5">
        <v>1</v>
      </c>
      <c r="C90" s="5">
        <v>0</v>
      </c>
      <c r="D90" s="25">
        <f>(C90-B90)/B90</f>
        <v>-1</v>
      </c>
      <c r="E90" s="38">
        <v>0</v>
      </c>
      <c r="F90" s="38">
        <v>0</v>
      </c>
      <c r="G90" s="25">
        <v>0</v>
      </c>
      <c r="H90" s="38">
        <v>47</v>
      </c>
      <c r="I90" s="38">
        <v>0</v>
      </c>
      <c r="J90" s="25">
        <f>(I90-H90)/H90</f>
        <v>-1</v>
      </c>
      <c r="K90" s="38">
        <v>0</v>
      </c>
      <c r="L90" s="38">
        <v>0</v>
      </c>
      <c r="M90" s="25">
        <v>0</v>
      </c>
      <c r="N90" s="15">
        <f t="shared" si="10"/>
        <v>-1</v>
      </c>
      <c r="O90" s="15">
        <f t="shared" si="11"/>
        <v>0</v>
      </c>
      <c r="P90" s="15">
        <f t="shared" si="12"/>
        <v>0</v>
      </c>
    </row>
    <row r="91" spans="1:16" ht="13.5" thickBot="1" x14ac:dyDescent="0.25">
      <c r="A91" s="28" t="s">
        <v>209</v>
      </c>
      <c r="B91" s="5">
        <v>20</v>
      </c>
      <c r="C91" s="5">
        <v>0</v>
      </c>
      <c r="D91" s="25">
        <f t="shared" ref="D91:D94" si="14">(C91-B91)/B91</f>
        <v>-1</v>
      </c>
      <c r="E91" s="38">
        <v>0</v>
      </c>
      <c r="F91" s="38">
        <v>0</v>
      </c>
      <c r="G91" s="25">
        <v>0</v>
      </c>
      <c r="H91" s="38">
        <v>99</v>
      </c>
      <c r="I91" s="38">
        <v>0</v>
      </c>
      <c r="J91" s="25">
        <f t="shared" ref="J91:J94" si="15">(I91-H91)/H91</f>
        <v>-1</v>
      </c>
      <c r="K91" s="38">
        <v>0</v>
      </c>
      <c r="L91" s="38">
        <v>0</v>
      </c>
      <c r="M91" s="25">
        <v>0</v>
      </c>
      <c r="N91" s="15">
        <f t="shared" si="10"/>
        <v>-20</v>
      </c>
      <c r="O91" s="15">
        <f t="shared" si="11"/>
        <v>0</v>
      </c>
      <c r="P91" s="15">
        <f t="shared" si="12"/>
        <v>0</v>
      </c>
    </row>
    <row r="92" spans="1:16" ht="13.5" thickBot="1" x14ac:dyDescent="0.25">
      <c r="A92" s="28" t="s">
        <v>210</v>
      </c>
      <c r="B92" s="5">
        <v>0</v>
      </c>
      <c r="C92" s="5">
        <v>0</v>
      </c>
      <c r="D92" s="25" t="e">
        <f t="shared" si="14"/>
        <v>#DIV/0!</v>
      </c>
      <c r="E92" s="38">
        <v>0</v>
      </c>
      <c r="F92" s="38">
        <v>0</v>
      </c>
      <c r="G92" s="25">
        <v>0</v>
      </c>
      <c r="H92" s="38">
        <v>0</v>
      </c>
      <c r="I92" s="38">
        <v>0</v>
      </c>
      <c r="J92" s="25">
        <v>0</v>
      </c>
      <c r="K92" s="38">
        <v>0</v>
      </c>
      <c r="L92" s="38">
        <v>0</v>
      </c>
      <c r="M92" s="25">
        <v>0</v>
      </c>
      <c r="N92" s="15">
        <f t="shared" si="10"/>
        <v>0</v>
      </c>
      <c r="O92" s="15">
        <f t="shared" si="11"/>
        <v>0</v>
      </c>
      <c r="P92" s="15">
        <f t="shared" si="12"/>
        <v>0</v>
      </c>
    </row>
    <row r="93" spans="1:16" ht="13.5" thickBot="1" x14ac:dyDescent="0.25">
      <c r="A93" s="29" t="s">
        <v>13</v>
      </c>
      <c r="B93" s="33">
        <f>SUM(B90:B92)</f>
        <v>21</v>
      </c>
      <c r="C93" s="33">
        <f>SUM(C90:C92)</f>
        <v>0</v>
      </c>
      <c r="D93" s="44">
        <f>(C93-B93)/B93</f>
        <v>-1</v>
      </c>
      <c r="E93" s="33">
        <f>SUM(E90:E92)</f>
        <v>0</v>
      </c>
      <c r="F93" s="33">
        <f>SUM(F90:F92)</f>
        <v>0</v>
      </c>
      <c r="G93" s="44">
        <v>0</v>
      </c>
      <c r="H93" s="33">
        <f>SUM(H90:H92)</f>
        <v>146</v>
      </c>
      <c r="I93" s="33">
        <f>SUM(I90:I92)</f>
        <v>0</v>
      </c>
      <c r="J93" s="44">
        <f t="shared" si="15"/>
        <v>-1</v>
      </c>
      <c r="K93" s="33">
        <f>SUM(K90:K92)</f>
        <v>0</v>
      </c>
      <c r="L93" s="33">
        <f>SUM(L90:L92)</f>
        <v>0</v>
      </c>
      <c r="M93" s="44">
        <v>0</v>
      </c>
      <c r="N93" s="33">
        <f t="shared" si="10"/>
        <v>-21</v>
      </c>
      <c r="O93" s="33">
        <f t="shared" si="11"/>
        <v>0</v>
      </c>
      <c r="P93" s="33">
        <f t="shared" si="12"/>
        <v>0</v>
      </c>
    </row>
    <row r="94" spans="1:16" ht="13.5" thickBot="1" x14ac:dyDescent="0.25">
      <c r="A94" s="30" t="s">
        <v>112</v>
      </c>
      <c r="B94" s="27">
        <f>SUM(B40,B88,B93)</f>
        <v>242</v>
      </c>
      <c r="C94" s="27">
        <f>SUM(C40,C88,C93)</f>
        <v>0</v>
      </c>
      <c r="D94" s="45">
        <f t="shared" si="14"/>
        <v>-1</v>
      </c>
      <c r="E94" s="27">
        <f>SUM(E40,E88,E93)</f>
        <v>191</v>
      </c>
      <c r="F94" s="27">
        <f>SUM(F40,F88,F93)</f>
        <v>0</v>
      </c>
      <c r="G94" s="45">
        <f t="shared" ref="G94" si="16">(F94-E94)/E94</f>
        <v>-1</v>
      </c>
      <c r="H94" s="27">
        <f>SUM(H40,H88,H93)</f>
        <v>157466</v>
      </c>
      <c r="I94" s="27">
        <f>SUM(I40,I88,I93)</f>
        <v>0</v>
      </c>
      <c r="J94" s="45">
        <f t="shared" si="15"/>
        <v>-1</v>
      </c>
      <c r="K94" s="27">
        <f>SUM(K40,K88,K93)</f>
        <v>787</v>
      </c>
      <c r="L94" s="27">
        <f>SUM(L40,L88,L93)</f>
        <v>0</v>
      </c>
      <c r="M94" s="46">
        <f t="shared" ref="M94" si="17">(L94-K94)/K94</f>
        <v>-1</v>
      </c>
      <c r="N94" s="26">
        <f t="shared" si="10"/>
        <v>-242</v>
      </c>
      <c r="O94" s="26">
        <f t="shared" si="11"/>
        <v>-191</v>
      </c>
      <c r="P94" s="26">
        <f t="shared" si="12"/>
        <v>-787</v>
      </c>
    </row>
    <row r="95" spans="1:16" ht="26.25" customHeight="1" x14ac:dyDescent="0.2">
      <c r="P95" s="13" t="s">
        <v>228</v>
      </c>
    </row>
    <row r="96" spans="1:16" ht="25.5" customHeight="1" x14ac:dyDescent="0.2">
      <c r="A96" s="216" t="s">
        <v>217</v>
      </c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</row>
  </sheetData>
  <mergeCells count="16">
    <mergeCell ref="A96:P96"/>
    <mergeCell ref="A89:P89"/>
    <mergeCell ref="A41:P41"/>
    <mergeCell ref="N1:N3"/>
    <mergeCell ref="O1:O3"/>
    <mergeCell ref="P1:P3"/>
    <mergeCell ref="A4:P4"/>
    <mergeCell ref="J1:J3"/>
    <mergeCell ref="K1:L2"/>
    <mergeCell ref="M1:M3"/>
    <mergeCell ref="A1:A3"/>
    <mergeCell ref="B1:C2"/>
    <mergeCell ref="D1:D3"/>
    <mergeCell ref="E1:F2"/>
    <mergeCell ref="G1:G3"/>
    <mergeCell ref="H1:I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55" zoomScaleNormal="55" workbookViewId="0">
      <selection activeCell="AI17" sqref="AI17"/>
    </sheetView>
  </sheetViews>
  <sheetFormatPr defaultRowHeight="15" x14ac:dyDescent="0.25"/>
  <cols>
    <col min="1" max="1" width="39" customWidth="1"/>
    <col min="18" max="18" width="39.42578125" customWidth="1"/>
    <col min="35" max="35" width="40.85546875" customWidth="1"/>
  </cols>
  <sheetData>
    <row r="1" spans="1:50" ht="30" customHeight="1" x14ac:dyDescent="0.25">
      <c r="A1" s="223" t="s">
        <v>14</v>
      </c>
      <c r="B1" s="297" t="s">
        <v>104</v>
      </c>
      <c r="C1" s="298"/>
      <c r="D1" s="294" t="s">
        <v>105</v>
      </c>
      <c r="E1" s="297" t="s">
        <v>106</v>
      </c>
      <c r="F1" s="298"/>
      <c r="G1" s="294" t="s">
        <v>105</v>
      </c>
      <c r="H1" s="297" t="s">
        <v>107</v>
      </c>
      <c r="I1" s="298"/>
      <c r="J1" s="294" t="s">
        <v>105</v>
      </c>
      <c r="K1" s="297" t="s">
        <v>108</v>
      </c>
      <c r="L1" s="298"/>
      <c r="M1" s="294" t="s">
        <v>109</v>
      </c>
      <c r="N1" s="294" t="s">
        <v>218</v>
      </c>
      <c r="O1" s="294" t="s">
        <v>219</v>
      </c>
      <c r="P1" s="294" t="s">
        <v>220</v>
      </c>
      <c r="R1" s="223" t="s">
        <v>14</v>
      </c>
      <c r="S1" s="297" t="s">
        <v>104</v>
      </c>
      <c r="T1" s="298"/>
      <c r="U1" s="294" t="s">
        <v>105</v>
      </c>
      <c r="V1" s="297" t="s">
        <v>106</v>
      </c>
      <c r="W1" s="298"/>
      <c r="X1" s="294" t="s">
        <v>105</v>
      </c>
      <c r="Y1" s="297" t="s">
        <v>107</v>
      </c>
      <c r="Z1" s="298"/>
      <c r="AA1" s="294" t="s">
        <v>105</v>
      </c>
      <c r="AB1" s="297" t="s">
        <v>108</v>
      </c>
      <c r="AC1" s="298"/>
      <c r="AD1" s="294" t="s">
        <v>109</v>
      </c>
      <c r="AE1" s="294" t="s">
        <v>218</v>
      </c>
      <c r="AF1" s="294" t="s">
        <v>219</v>
      </c>
      <c r="AG1" s="294" t="s">
        <v>220</v>
      </c>
      <c r="AI1" s="223" t="s">
        <v>14</v>
      </c>
      <c r="AJ1" s="297" t="s">
        <v>104</v>
      </c>
      <c r="AK1" s="298"/>
      <c r="AL1" s="294" t="s">
        <v>105</v>
      </c>
      <c r="AM1" s="297" t="s">
        <v>106</v>
      </c>
      <c r="AN1" s="298"/>
      <c r="AO1" s="294" t="s">
        <v>105</v>
      </c>
      <c r="AP1" s="297" t="s">
        <v>107</v>
      </c>
      <c r="AQ1" s="298"/>
      <c r="AR1" s="294" t="s">
        <v>105</v>
      </c>
      <c r="AS1" s="297" t="s">
        <v>108</v>
      </c>
      <c r="AT1" s="298"/>
      <c r="AU1" s="294" t="s">
        <v>109</v>
      </c>
      <c r="AV1" s="294" t="s">
        <v>218</v>
      </c>
      <c r="AW1" s="294" t="s">
        <v>219</v>
      </c>
      <c r="AX1" s="294" t="s">
        <v>220</v>
      </c>
    </row>
    <row r="2" spans="1:50" ht="30" customHeight="1" thickBot="1" x14ac:dyDescent="0.3">
      <c r="A2" s="224"/>
      <c r="B2" s="299"/>
      <c r="C2" s="300"/>
      <c r="D2" s="295"/>
      <c r="E2" s="299"/>
      <c r="F2" s="300"/>
      <c r="G2" s="295"/>
      <c r="H2" s="299"/>
      <c r="I2" s="300"/>
      <c r="J2" s="295"/>
      <c r="K2" s="299"/>
      <c r="L2" s="300"/>
      <c r="M2" s="295"/>
      <c r="N2" s="295"/>
      <c r="O2" s="295"/>
      <c r="P2" s="295"/>
      <c r="R2" s="224"/>
      <c r="S2" s="299"/>
      <c r="T2" s="300"/>
      <c r="U2" s="295"/>
      <c r="V2" s="299"/>
      <c r="W2" s="300"/>
      <c r="X2" s="295"/>
      <c r="Y2" s="299"/>
      <c r="Z2" s="300"/>
      <c r="AA2" s="295"/>
      <c r="AB2" s="299"/>
      <c r="AC2" s="300"/>
      <c r="AD2" s="295"/>
      <c r="AE2" s="295"/>
      <c r="AF2" s="295"/>
      <c r="AG2" s="295"/>
      <c r="AI2" s="224"/>
      <c r="AJ2" s="299"/>
      <c r="AK2" s="300"/>
      <c r="AL2" s="295"/>
      <c r="AM2" s="299"/>
      <c r="AN2" s="300"/>
      <c r="AO2" s="295"/>
      <c r="AP2" s="299"/>
      <c r="AQ2" s="300"/>
      <c r="AR2" s="295"/>
      <c r="AS2" s="299"/>
      <c r="AT2" s="300"/>
      <c r="AU2" s="295"/>
      <c r="AV2" s="295"/>
      <c r="AW2" s="295"/>
      <c r="AX2" s="295"/>
    </row>
    <row r="3" spans="1:50" ht="43.15" customHeight="1" thickBot="1" x14ac:dyDescent="0.3">
      <c r="A3" s="225"/>
      <c r="B3" s="36" t="s">
        <v>124</v>
      </c>
      <c r="C3" s="36" t="s">
        <v>227</v>
      </c>
      <c r="D3" s="296"/>
      <c r="E3" s="36" t="s">
        <v>124</v>
      </c>
      <c r="F3" s="36" t="s">
        <v>227</v>
      </c>
      <c r="G3" s="296"/>
      <c r="H3" s="36" t="s">
        <v>124</v>
      </c>
      <c r="I3" s="36" t="s">
        <v>227</v>
      </c>
      <c r="J3" s="296"/>
      <c r="K3" s="36" t="s">
        <v>124</v>
      </c>
      <c r="L3" s="36" t="s">
        <v>227</v>
      </c>
      <c r="M3" s="296"/>
      <c r="N3" s="296"/>
      <c r="O3" s="296"/>
      <c r="P3" s="296"/>
      <c r="R3" s="225"/>
      <c r="S3" s="36" t="s">
        <v>124</v>
      </c>
      <c r="T3" s="36" t="s">
        <v>227</v>
      </c>
      <c r="U3" s="296"/>
      <c r="V3" s="36" t="s">
        <v>124</v>
      </c>
      <c r="W3" s="36" t="s">
        <v>227</v>
      </c>
      <c r="X3" s="296"/>
      <c r="Y3" s="36" t="s">
        <v>124</v>
      </c>
      <c r="Z3" s="36" t="s">
        <v>227</v>
      </c>
      <c r="AA3" s="296"/>
      <c r="AB3" s="36" t="s">
        <v>124</v>
      </c>
      <c r="AC3" s="36" t="s">
        <v>227</v>
      </c>
      <c r="AD3" s="296"/>
      <c r="AE3" s="296"/>
      <c r="AF3" s="296"/>
      <c r="AG3" s="296"/>
      <c r="AI3" s="225"/>
      <c r="AJ3" s="36" t="s">
        <v>124</v>
      </c>
      <c r="AK3" s="36" t="s">
        <v>227</v>
      </c>
      <c r="AL3" s="296"/>
      <c r="AM3" s="36" t="s">
        <v>124</v>
      </c>
      <c r="AN3" s="36" t="s">
        <v>227</v>
      </c>
      <c r="AO3" s="296"/>
      <c r="AP3" s="36" t="s">
        <v>124</v>
      </c>
      <c r="AQ3" s="36" t="s">
        <v>227</v>
      </c>
      <c r="AR3" s="296"/>
      <c r="AS3" s="36" t="s">
        <v>124</v>
      </c>
      <c r="AT3" s="36" t="s">
        <v>227</v>
      </c>
      <c r="AU3" s="296"/>
      <c r="AV3" s="296"/>
      <c r="AW3" s="296"/>
      <c r="AX3" s="296"/>
    </row>
    <row r="4" spans="1:50" ht="15" customHeight="1" thickBot="1" x14ac:dyDescent="0.3">
      <c r="A4" s="241" t="s">
        <v>11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R4" s="241" t="s">
        <v>12</v>
      </c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27"/>
      <c r="AI4" s="241" t="s">
        <v>212</v>
      </c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</row>
    <row r="5" spans="1:50" ht="35.450000000000003" customHeight="1" thickBot="1" x14ac:dyDescent="0.3">
      <c r="A5" s="28" t="s">
        <v>126</v>
      </c>
      <c r="B5" s="18">
        <f>SUM(B6:B13)</f>
        <v>64</v>
      </c>
      <c r="C5" s="18">
        <f>SUM(C6:C13)</f>
        <v>0</v>
      </c>
      <c r="D5" s="43">
        <f>(C5-B5)/B5</f>
        <v>-1</v>
      </c>
      <c r="E5" s="18">
        <f>SUM(E6:E13)</f>
        <v>124</v>
      </c>
      <c r="F5" s="18">
        <f>SUM(F6:F13)</f>
        <v>0</v>
      </c>
      <c r="G5" s="43">
        <f>(F5-E5)/E5</f>
        <v>-1</v>
      </c>
      <c r="H5" s="18">
        <f>SUM(H6:H13)</f>
        <v>1562</v>
      </c>
      <c r="I5" s="18">
        <f>SUM(I6:I13)</f>
        <v>0</v>
      </c>
      <c r="J5" s="43">
        <f>(I5-H5)/H5</f>
        <v>-1</v>
      </c>
      <c r="K5" s="18">
        <f>SUM(K6:K13)</f>
        <v>271</v>
      </c>
      <c r="L5" s="18">
        <f>SUM(L6:L13)</f>
        <v>0</v>
      </c>
      <c r="M5" s="43">
        <f>(L5-K5)/K5</f>
        <v>-1</v>
      </c>
      <c r="N5" s="18">
        <f>C5-B5</f>
        <v>-64</v>
      </c>
      <c r="O5" s="18">
        <f>F5-E5</f>
        <v>-124</v>
      </c>
      <c r="P5" s="18">
        <f>L5-K5</f>
        <v>-271</v>
      </c>
      <c r="R5" s="28" t="s">
        <v>163</v>
      </c>
      <c r="S5" s="18">
        <f>SUM(S6:S7)</f>
        <v>0</v>
      </c>
      <c r="T5" s="18">
        <f>SUM(T6:T7)</f>
        <v>0</v>
      </c>
      <c r="U5" s="43">
        <v>0</v>
      </c>
      <c r="V5" s="18">
        <f>SUM(V6:V7)</f>
        <v>0</v>
      </c>
      <c r="W5" s="18">
        <f>SUM(W6:W7)</f>
        <v>0</v>
      </c>
      <c r="X5" s="43">
        <v>0</v>
      </c>
      <c r="Y5" s="18">
        <f>SUM(Y6:Y7)</f>
        <v>0</v>
      </c>
      <c r="Z5" s="18">
        <f>SUM(Z6:Z7)</f>
        <v>0</v>
      </c>
      <c r="AA5" s="43">
        <v>0</v>
      </c>
      <c r="AB5" s="18">
        <f>SUM(AB6:AB7)</f>
        <v>0</v>
      </c>
      <c r="AC5" s="18">
        <f>SUM(AC6:AC7)</f>
        <v>0</v>
      </c>
      <c r="AD5" s="43">
        <v>0</v>
      </c>
      <c r="AE5" s="18">
        <f t="shared" ref="AE5:AE51" si="0">T5-S5</f>
        <v>0</v>
      </c>
      <c r="AF5" s="18">
        <f t="shared" ref="AF5:AF51" si="1">W5-V5</f>
        <v>0</v>
      </c>
      <c r="AG5" s="18">
        <f t="shared" ref="AG5:AG51" si="2">AC5-AB5</f>
        <v>0</v>
      </c>
      <c r="AI5" s="28" t="s">
        <v>211</v>
      </c>
      <c r="AJ5" s="5">
        <v>1</v>
      </c>
      <c r="AK5" s="5">
        <v>0</v>
      </c>
      <c r="AL5" s="25">
        <f>(AK5-AJ5)/AJ5</f>
        <v>-1</v>
      </c>
      <c r="AM5" s="38">
        <v>0</v>
      </c>
      <c r="AN5" s="38">
        <v>0</v>
      </c>
      <c r="AO5" s="25">
        <v>0</v>
      </c>
      <c r="AP5" s="38">
        <v>47</v>
      </c>
      <c r="AQ5" s="38">
        <v>0</v>
      </c>
      <c r="AR5" s="25">
        <f>(AQ5-AP5)/AP5</f>
        <v>-1</v>
      </c>
      <c r="AS5" s="38">
        <v>0</v>
      </c>
      <c r="AT5" s="38">
        <v>0</v>
      </c>
      <c r="AU5" s="25">
        <v>0</v>
      </c>
      <c r="AV5" s="15">
        <f t="shared" ref="AV5:AV8" si="3">AK5-AJ5</f>
        <v>-1</v>
      </c>
      <c r="AW5" s="15">
        <f t="shared" ref="AW5:AW8" si="4">AN5-AM5</f>
        <v>0</v>
      </c>
      <c r="AX5" s="15">
        <f t="shared" ref="AX5:AX8" si="5">AT5-AS5</f>
        <v>0</v>
      </c>
    </row>
    <row r="6" spans="1:50" ht="15.75" thickBot="1" x14ac:dyDescent="0.3">
      <c r="A6" s="31" t="s">
        <v>127</v>
      </c>
      <c r="B6" s="5">
        <v>0</v>
      </c>
      <c r="C6" s="5">
        <v>0</v>
      </c>
      <c r="D6" s="43">
        <v>0</v>
      </c>
      <c r="E6" s="5">
        <v>0</v>
      </c>
      <c r="F6" s="5">
        <v>0</v>
      </c>
      <c r="G6" s="43">
        <v>0</v>
      </c>
      <c r="H6" s="5">
        <v>0</v>
      </c>
      <c r="I6" s="5">
        <v>0</v>
      </c>
      <c r="J6" s="43">
        <v>0</v>
      </c>
      <c r="K6" s="5">
        <v>0</v>
      </c>
      <c r="L6" s="5">
        <v>0</v>
      </c>
      <c r="M6" s="43">
        <v>0</v>
      </c>
      <c r="N6" s="15">
        <f t="shared" ref="N6:N40" si="6">C6-B6</f>
        <v>0</v>
      </c>
      <c r="O6" s="15">
        <f t="shared" ref="O6:O40" si="7">F6-E6</f>
        <v>0</v>
      </c>
      <c r="P6" s="15">
        <f t="shared" ref="P6:P40" si="8">L6-K6</f>
        <v>0</v>
      </c>
      <c r="R6" s="31" t="s">
        <v>164</v>
      </c>
      <c r="S6" s="5">
        <v>0</v>
      </c>
      <c r="T6" s="5">
        <v>0</v>
      </c>
      <c r="U6" s="43">
        <v>0</v>
      </c>
      <c r="V6" s="5">
        <v>0</v>
      </c>
      <c r="W6" s="5">
        <v>0</v>
      </c>
      <c r="X6" s="43">
        <v>0</v>
      </c>
      <c r="Y6" s="5">
        <v>0</v>
      </c>
      <c r="Z6" s="5">
        <v>0</v>
      </c>
      <c r="AA6" s="43">
        <v>0</v>
      </c>
      <c r="AB6" s="5">
        <v>0</v>
      </c>
      <c r="AC6" s="5">
        <v>0</v>
      </c>
      <c r="AD6" s="43">
        <v>0</v>
      </c>
      <c r="AE6" s="15">
        <f t="shared" si="0"/>
        <v>0</v>
      </c>
      <c r="AF6" s="15">
        <f t="shared" si="1"/>
        <v>0</v>
      </c>
      <c r="AG6" s="15">
        <f t="shared" si="2"/>
        <v>0</v>
      </c>
      <c r="AI6" s="28" t="s">
        <v>209</v>
      </c>
      <c r="AJ6" s="5">
        <v>20</v>
      </c>
      <c r="AK6" s="5">
        <v>0</v>
      </c>
      <c r="AL6" s="25">
        <f t="shared" ref="AL6:AL7" si="9">(AK6-AJ6)/AJ6</f>
        <v>-1</v>
      </c>
      <c r="AM6" s="38">
        <v>0</v>
      </c>
      <c r="AN6" s="38">
        <v>0</v>
      </c>
      <c r="AO6" s="25">
        <v>0</v>
      </c>
      <c r="AP6" s="38">
        <v>99</v>
      </c>
      <c r="AQ6" s="38">
        <v>0</v>
      </c>
      <c r="AR6" s="25">
        <f t="shared" ref="AR6:AR8" si="10">(AQ6-AP6)/AP6</f>
        <v>-1</v>
      </c>
      <c r="AS6" s="38">
        <v>0</v>
      </c>
      <c r="AT6" s="38">
        <v>0</v>
      </c>
      <c r="AU6" s="25">
        <v>0</v>
      </c>
      <c r="AV6" s="15">
        <f t="shared" si="3"/>
        <v>-20</v>
      </c>
      <c r="AW6" s="15">
        <f t="shared" si="4"/>
        <v>0</v>
      </c>
      <c r="AX6" s="15">
        <f t="shared" si="5"/>
        <v>0</v>
      </c>
    </row>
    <row r="7" spans="1:50" ht="27" customHeight="1" thickBot="1" x14ac:dyDescent="0.3">
      <c r="A7" s="31" t="s">
        <v>128</v>
      </c>
      <c r="B7" s="5">
        <v>8</v>
      </c>
      <c r="C7" s="5">
        <v>0</v>
      </c>
      <c r="D7" s="43">
        <f t="shared" ref="D7:D31" si="11">(C7-B7)/B7</f>
        <v>-1</v>
      </c>
      <c r="E7" s="5">
        <v>2</v>
      </c>
      <c r="F7" s="5">
        <v>0</v>
      </c>
      <c r="G7" s="43">
        <f t="shared" ref="G7:G24" si="12">(F7-E7)/E7</f>
        <v>-1</v>
      </c>
      <c r="H7" s="5">
        <v>17</v>
      </c>
      <c r="I7" s="5">
        <v>0</v>
      </c>
      <c r="J7" s="43">
        <f t="shared" ref="J7:J31" si="13">(I7-H7)/H7</f>
        <v>-1</v>
      </c>
      <c r="K7" s="5">
        <v>0</v>
      </c>
      <c r="L7" s="5">
        <v>0</v>
      </c>
      <c r="M7" s="43">
        <v>0</v>
      </c>
      <c r="N7" s="15">
        <f t="shared" si="6"/>
        <v>-8</v>
      </c>
      <c r="O7" s="15">
        <f t="shared" si="7"/>
        <v>-2</v>
      </c>
      <c r="P7" s="15">
        <f t="shared" si="8"/>
        <v>0</v>
      </c>
      <c r="R7" s="31" t="s">
        <v>165</v>
      </c>
      <c r="S7" s="5">
        <v>0</v>
      </c>
      <c r="T7" s="5">
        <v>0</v>
      </c>
      <c r="U7" s="43">
        <v>0</v>
      </c>
      <c r="V7" s="5">
        <v>0</v>
      </c>
      <c r="W7" s="5">
        <v>0</v>
      </c>
      <c r="X7" s="43">
        <v>0</v>
      </c>
      <c r="Y7" s="5">
        <v>0</v>
      </c>
      <c r="Z7" s="5">
        <v>0</v>
      </c>
      <c r="AA7" s="43">
        <v>0</v>
      </c>
      <c r="AB7" s="5">
        <v>0</v>
      </c>
      <c r="AC7" s="5">
        <v>0</v>
      </c>
      <c r="AD7" s="43">
        <v>0</v>
      </c>
      <c r="AE7" s="15">
        <f t="shared" si="0"/>
        <v>0</v>
      </c>
      <c r="AF7" s="15">
        <f t="shared" si="1"/>
        <v>0</v>
      </c>
      <c r="AG7" s="15">
        <f t="shared" si="2"/>
        <v>0</v>
      </c>
      <c r="AI7" s="28" t="s">
        <v>210</v>
      </c>
      <c r="AJ7" s="5">
        <v>0</v>
      </c>
      <c r="AK7" s="5">
        <v>0</v>
      </c>
      <c r="AL7" s="25" t="e">
        <f t="shared" si="9"/>
        <v>#DIV/0!</v>
      </c>
      <c r="AM7" s="38">
        <v>0</v>
      </c>
      <c r="AN7" s="38">
        <v>0</v>
      </c>
      <c r="AO7" s="25">
        <v>0</v>
      </c>
      <c r="AP7" s="38">
        <v>0</v>
      </c>
      <c r="AQ7" s="38">
        <v>0</v>
      </c>
      <c r="AR7" s="25">
        <v>0</v>
      </c>
      <c r="AS7" s="38">
        <v>0</v>
      </c>
      <c r="AT7" s="38">
        <v>0</v>
      </c>
      <c r="AU7" s="25">
        <v>0</v>
      </c>
      <c r="AV7" s="15">
        <f t="shared" si="3"/>
        <v>0</v>
      </c>
      <c r="AW7" s="15">
        <f t="shared" si="4"/>
        <v>0</v>
      </c>
      <c r="AX7" s="15">
        <f t="shared" si="5"/>
        <v>0</v>
      </c>
    </row>
    <row r="8" spans="1:50" ht="15.75" thickBot="1" x14ac:dyDescent="0.3">
      <c r="A8" s="31" t="s">
        <v>129</v>
      </c>
      <c r="B8" s="5">
        <v>0</v>
      </c>
      <c r="C8" s="5">
        <v>0</v>
      </c>
      <c r="D8" s="43">
        <v>0</v>
      </c>
      <c r="E8" s="5">
        <v>0</v>
      </c>
      <c r="F8" s="5">
        <v>0</v>
      </c>
      <c r="G8" s="43">
        <v>0</v>
      </c>
      <c r="H8" s="5">
        <v>0</v>
      </c>
      <c r="I8" s="5">
        <v>0</v>
      </c>
      <c r="J8" s="43">
        <v>0</v>
      </c>
      <c r="K8" s="5">
        <v>0</v>
      </c>
      <c r="L8" s="5">
        <v>0</v>
      </c>
      <c r="M8" s="43">
        <v>0</v>
      </c>
      <c r="N8" s="15">
        <f t="shared" si="6"/>
        <v>0</v>
      </c>
      <c r="O8" s="15">
        <f t="shared" si="7"/>
        <v>0</v>
      </c>
      <c r="P8" s="15">
        <f t="shared" si="8"/>
        <v>0</v>
      </c>
      <c r="R8" s="28" t="s">
        <v>166</v>
      </c>
      <c r="S8" s="18">
        <f>SUM(S9:S12)</f>
        <v>3</v>
      </c>
      <c r="T8" s="18">
        <f>SUM(T9:T12)</f>
        <v>0</v>
      </c>
      <c r="U8" s="43">
        <f>(T8-S8)/S8</f>
        <v>-1</v>
      </c>
      <c r="V8" s="18">
        <f>SUM(V9:V12)</f>
        <v>0</v>
      </c>
      <c r="W8" s="18">
        <f>SUM(W9:W12)</f>
        <v>0</v>
      </c>
      <c r="X8" s="43">
        <v>0</v>
      </c>
      <c r="Y8" s="18">
        <f>SUM(Y9:Y12)</f>
        <v>879</v>
      </c>
      <c r="Z8" s="18">
        <f>SUM(Z9:Z12)</f>
        <v>0</v>
      </c>
      <c r="AA8" s="43">
        <f>(Z8-Y8)/Y8</f>
        <v>-1</v>
      </c>
      <c r="AB8" s="18">
        <f>SUM(AB9:AB12)</f>
        <v>0</v>
      </c>
      <c r="AC8" s="18">
        <f>SUM(AC9:AC12)</f>
        <v>0</v>
      </c>
      <c r="AD8" s="43">
        <v>0</v>
      </c>
      <c r="AE8" s="18">
        <f t="shared" si="0"/>
        <v>-3</v>
      </c>
      <c r="AF8" s="18">
        <f t="shared" si="1"/>
        <v>0</v>
      </c>
      <c r="AG8" s="18">
        <f t="shared" si="2"/>
        <v>0</v>
      </c>
      <c r="AI8" s="29" t="s">
        <v>13</v>
      </c>
      <c r="AJ8" s="33">
        <f>SUM(AJ5:AJ7)</f>
        <v>21</v>
      </c>
      <c r="AK8" s="33">
        <f>SUM(AK5:AK7)</f>
        <v>0</v>
      </c>
      <c r="AL8" s="44">
        <f>(AK8-AJ8)/AJ8</f>
        <v>-1</v>
      </c>
      <c r="AM8" s="33">
        <f>SUM(AM5:AM7)</f>
        <v>0</v>
      </c>
      <c r="AN8" s="33">
        <f>SUM(AN5:AN7)</f>
        <v>0</v>
      </c>
      <c r="AO8" s="44">
        <v>0</v>
      </c>
      <c r="AP8" s="33">
        <f>SUM(AP5:AP7)</f>
        <v>146</v>
      </c>
      <c r="AQ8" s="33">
        <f>SUM(AQ5:AQ7)</f>
        <v>0</v>
      </c>
      <c r="AR8" s="44">
        <f t="shared" si="10"/>
        <v>-1</v>
      </c>
      <c r="AS8" s="33">
        <f>SUM(AS5:AS7)</f>
        <v>0</v>
      </c>
      <c r="AT8" s="33">
        <f>SUM(AT5:AT7)</f>
        <v>0</v>
      </c>
      <c r="AU8" s="44">
        <v>0</v>
      </c>
      <c r="AV8" s="33">
        <f t="shared" si="3"/>
        <v>-21</v>
      </c>
      <c r="AW8" s="33">
        <f t="shared" si="4"/>
        <v>0</v>
      </c>
      <c r="AX8" s="33">
        <f t="shared" si="5"/>
        <v>0</v>
      </c>
    </row>
    <row r="9" spans="1:50" ht="26.25" thickBot="1" x14ac:dyDescent="0.3">
      <c r="A9" s="31" t="s">
        <v>130</v>
      </c>
      <c r="B9" s="5">
        <v>0</v>
      </c>
      <c r="C9" s="5">
        <v>0</v>
      </c>
      <c r="D9" s="43">
        <v>0</v>
      </c>
      <c r="E9" s="5">
        <v>0</v>
      </c>
      <c r="F9" s="5">
        <v>0</v>
      </c>
      <c r="G9" s="43">
        <v>0</v>
      </c>
      <c r="H9" s="5">
        <v>0</v>
      </c>
      <c r="I9" s="5">
        <v>0</v>
      </c>
      <c r="J9" s="43">
        <v>0</v>
      </c>
      <c r="K9" s="5">
        <v>0</v>
      </c>
      <c r="L9" s="5">
        <v>0</v>
      </c>
      <c r="M9" s="43">
        <v>0</v>
      </c>
      <c r="N9" s="15">
        <f t="shared" si="6"/>
        <v>0</v>
      </c>
      <c r="O9" s="15">
        <f t="shared" si="7"/>
        <v>0</v>
      </c>
      <c r="P9" s="15">
        <f t="shared" si="8"/>
        <v>0</v>
      </c>
      <c r="R9" s="31" t="s">
        <v>167</v>
      </c>
      <c r="S9" s="5">
        <v>1</v>
      </c>
      <c r="T9" s="5">
        <v>0</v>
      </c>
      <c r="U9" s="43">
        <f>(T9-S9)/S9</f>
        <v>-1</v>
      </c>
      <c r="V9" s="5">
        <v>0</v>
      </c>
      <c r="W9" s="5">
        <v>0</v>
      </c>
      <c r="X9" s="43">
        <v>0</v>
      </c>
      <c r="Y9" s="5">
        <v>681</v>
      </c>
      <c r="Z9" s="5">
        <v>0</v>
      </c>
      <c r="AA9" s="43">
        <f t="shared" ref="AA9:AA44" si="14">(Z9-Y9)/Y9</f>
        <v>-1</v>
      </c>
      <c r="AB9" s="5">
        <v>0</v>
      </c>
      <c r="AC9" s="5">
        <v>0</v>
      </c>
      <c r="AD9" s="43">
        <v>0</v>
      </c>
      <c r="AE9" s="15">
        <f t="shared" si="0"/>
        <v>-1</v>
      </c>
      <c r="AF9" s="15">
        <f t="shared" si="1"/>
        <v>0</v>
      </c>
      <c r="AG9" s="15">
        <f t="shared" si="2"/>
        <v>0</v>
      </c>
    </row>
    <row r="10" spans="1:50" ht="27" customHeight="1" thickBot="1" x14ac:dyDescent="0.3">
      <c r="A10" s="31" t="s">
        <v>131</v>
      </c>
      <c r="B10" s="5">
        <v>30</v>
      </c>
      <c r="C10" s="5">
        <v>0</v>
      </c>
      <c r="D10" s="43">
        <f t="shared" si="11"/>
        <v>-1</v>
      </c>
      <c r="E10" s="5">
        <v>67</v>
      </c>
      <c r="F10" s="5">
        <v>0</v>
      </c>
      <c r="G10" s="43">
        <f t="shared" si="12"/>
        <v>-1</v>
      </c>
      <c r="H10" s="5">
        <v>438</v>
      </c>
      <c r="I10" s="5">
        <v>0</v>
      </c>
      <c r="J10" s="43">
        <f t="shared" si="13"/>
        <v>-1</v>
      </c>
      <c r="K10" s="5">
        <v>130</v>
      </c>
      <c r="L10" s="5">
        <v>0</v>
      </c>
      <c r="M10" s="43">
        <f t="shared" ref="M10:M24" si="15">(L10-K10)/K10</f>
        <v>-1</v>
      </c>
      <c r="N10" s="15">
        <f t="shared" si="6"/>
        <v>-30</v>
      </c>
      <c r="O10" s="15">
        <f t="shared" si="7"/>
        <v>-67</v>
      </c>
      <c r="P10" s="15">
        <f t="shared" si="8"/>
        <v>-130</v>
      </c>
      <c r="R10" s="31" t="s">
        <v>168</v>
      </c>
      <c r="S10" s="5">
        <v>2</v>
      </c>
      <c r="T10" s="5">
        <v>0</v>
      </c>
      <c r="U10" s="43">
        <v>1</v>
      </c>
      <c r="V10" s="5">
        <v>0</v>
      </c>
      <c r="W10" s="5">
        <v>0</v>
      </c>
      <c r="X10" s="43">
        <v>0</v>
      </c>
      <c r="Y10" s="5">
        <v>198</v>
      </c>
      <c r="Z10" s="5">
        <v>0</v>
      </c>
      <c r="AA10" s="43">
        <v>1</v>
      </c>
      <c r="AB10" s="5">
        <v>0</v>
      </c>
      <c r="AC10" s="5">
        <v>0</v>
      </c>
      <c r="AD10" s="43">
        <v>0</v>
      </c>
      <c r="AE10" s="15">
        <f t="shared" si="0"/>
        <v>-2</v>
      </c>
      <c r="AF10" s="15">
        <f t="shared" si="1"/>
        <v>0</v>
      </c>
      <c r="AG10" s="15">
        <f t="shared" si="2"/>
        <v>0</v>
      </c>
    </row>
    <row r="11" spans="1:50" ht="15.75" thickBot="1" x14ac:dyDescent="0.3">
      <c r="A11" s="31" t="s">
        <v>132</v>
      </c>
      <c r="B11" s="5">
        <v>9</v>
      </c>
      <c r="C11" s="5">
        <v>0</v>
      </c>
      <c r="D11" s="43">
        <f t="shared" si="11"/>
        <v>-1</v>
      </c>
      <c r="E11" s="5">
        <v>13</v>
      </c>
      <c r="F11" s="5">
        <v>0</v>
      </c>
      <c r="G11" s="43">
        <v>1</v>
      </c>
      <c r="H11" s="5">
        <v>23</v>
      </c>
      <c r="I11" s="5">
        <v>0</v>
      </c>
      <c r="J11" s="43">
        <v>1</v>
      </c>
      <c r="K11" s="5">
        <v>25</v>
      </c>
      <c r="L11" s="5">
        <v>0</v>
      </c>
      <c r="M11" s="43">
        <f t="shared" si="15"/>
        <v>-1</v>
      </c>
      <c r="N11" s="15">
        <f t="shared" si="6"/>
        <v>-9</v>
      </c>
      <c r="O11" s="15">
        <f t="shared" si="7"/>
        <v>-13</v>
      </c>
      <c r="P11" s="15">
        <f t="shared" si="8"/>
        <v>-25</v>
      </c>
      <c r="R11" s="31" t="s">
        <v>169</v>
      </c>
      <c r="S11" s="5">
        <v>0</v>
      </c>
      <c r="T11" s="5">
        <v>0</v>
      </c>
      <c r="U11" s="43">
        <v>0</v>
      </c>
      <c r="V11" s="5">
        <v>0</v>
      </c>
      <c r="W11" s="5">
        <v>0</v>
      </c>
      <c r="X11" s="43">
        <v>0</v>
      </c>
      <c r="Y11" s="5">
        <v>0</v>
      </c>
      <c r="Z11" s="5">
        <v>0</v>
      </c>
      <c r="AA11" s="43">
        <v>0</v>
      </c>
      <c r="AB11" s="5">
        <v>0</v>
      </c>
      <c r="AC11" s="5">
        <v>0</v>
      </c>
      <c r="AD11" s="43">
        <v>0</v>
      </c>
      <c r="AE11" s="15">
        <f t="shared" si="0"/>
        <v>0</v>
      </c>
      <c r="AF11" s="15">
        <f t="shared" si="1"/>
        <v>0</v>
      </c>
      <c r="AG11" s="15">
        <f t="shared" si="2"/>
        <v>0</v>
      </c>
    </row>
    <row r="12" spans="1:50" ht="26.25" thickBot="1" x14ac:dyDescent="0.3">
      <c r="A12" s="31" t="s">
        <v>133</v>
      </c>
      <c r="B12" s="5">
        <v>17</v>
      </c>
      <c r="C12" s="5">
        <v>0</v>
      </c>
      <c r="D12" s="43">
        <f t="shared" si="11"/>
        <v>-1</v>
      </c>
      <c r="E12" s="5">
        <v>42</v>
      </c>
      <c r="F12" s="5">
        <v>0</v>
      </c>
      <c r="G12" s="43">
        <f t="shared" si="12"/>
        <v>-1</v>
      </c>
      <c r="H12" s="5">
        <v>1084</v>
      </c>
      <c r="I12" s="5">
        <v>0</v>
      </c>
      <c r="J12" s="43">
        <f t="shared" si="13"/>
        <v>-1</v>
      </c>
      <c r="K12" s="5">
        <v>116</v>
      </c>
      <c r="L12" s="5">
        <v>0</v>
      </c>
      <c r="M12" s="43">
        <f t="shared" si="15"/>
        <v>-1</v>
      </c>
      <c r="N12" s="15">
        <f t="shared" si="6"/>
        <v>-17</v>
      </c>
      <c r="O12" s="15">
        <f t="shared" si="7"/>
        <v>-42</v>
      </c>
      <c r="P12" s="15">
        <f t="shared" si="8"/>
        <v>-116</v>
      </c>
      <c r="R12" s="31" t="s">
        <v>216</v>
      </c>
      <c r="S12" s="5">
        <v>0</v>
      </c>
      <c r="T12" s="5">
        <v>0</v>
      </c>
      <c r="U12" s="43">
        <v>0</v>
      </c>
      <c r="V12" s="5">
        <v>0</v>
      </c>
      <c r="W12" s="5">
        <v>0</v>
      </c>
      <c r="X12" s="43">
        <v>0</v>
      </c>
      <c r="Y12" s="5">
        <v>0</v>
      </c>
      <c r="Z12" s="5">
        <v>0</v>
      </c>
      <c r="AA12" s="43">
        <v>0</v>
      </c>
      <c r="AB12" s="5">
        <v>0</v>
      </c>
      <c r="AC12" s="5">
        <v>0</v>
      </c>
      <c r="AD12" s="43">
        <v>0</v>
      </c>
      <c r="AE12" s="15">
        <f t="shared" si="0"/>
        <v>0</v>
      </c>
      <c r="AF12" s="15">
        <f t="shared" si="1"/>
        <v>0</v>
      </c>
      <c r="AG12" s="15">
        <f t="shared" si="2"/>
        <v>0</v>
      </c>
    </row>
    <row r="13" spans="1:50" ht="79.900000000000006" customHeight="1" thickBot="1" x14ac:dyDescent="0.3">
      <c r="A13" s="31" t="s">
        <v>134</v>
      </c>
      <c r="B13" s="5">
        <v>0</v>
      </c>
      <c r="C13" s="5">
        <v>0</v>
      </c>
      <c r="D13" s="43">
        <v>0</v>
      </c>
      <c r="E13" s="5">
        <v>0</v>
      </c>
      <c r="F13" s="5">
        <v>0</v>
      </c>
      <c r="G13" s="43">
        <v>0</v>
      </c>
      <c r="H13" s="5">
        <v>0</v>
      </c>
      <c r="I13" s="5">
        <v>0</v>
      </c>
      <c r="J13" s="43">
        <v>0</v>
      </c>
      <c r="K13" s="5">
        <v>0</v>
      </c>
      <c r="L13" s="5">
        <v>0</v>
      </c>
      <c r="M13" s="43">
        <v>0</v>
      </c>
      <c r="N13" s="15">
        <f t="shared" si="6"/>
        <v>0</v>
      </c>
      <c r="O13" s="15">
        <f t="shared" si="7"/>
        <v>0</v>
      </c>
      <c r="P13" s="15">
        <f t="shared" si="8"/>
        <v>0</v>
      </c>
      <c r="R13" s="28" t="s">
        <v>170</v>
      </c>
      <c r="S13" s="18">
        <f>SUM(S14:S30)</f>
        <v>36</v>
      </c>
      <c r="T13" s="18">
        <f>SUM(T14:T30)</f>
        <v>0</v>
      </c>
      <c r="U13" s="43">
        <f>(T13-S13)/S13</f>
        <v>-1</v>
      </c>
      <c r="V13" s="18">
        <f>SUM(V14:V30)</f>
        <v>8</v>
      </c>
      <c r="W13" s="18">
        <f>SUM(W14:W30)</f>
        <v>0</v>
      </c>
      <c r="X13" s="43">
        <f>(W13-V13)/V13</f>
        <v>-1</v>
      </c>
      <c r="Y13" s="18">
        <f>SUM(Y14:Y30)</f>
        <v>77954</v>
      </c>
      <c r="Z13" s="18">
        <f>SUM(Z14:Z30)</f>
        <v>0</v>
      </c>
      <c r="AA13" s="43">
        <f>(Z13-Y13)/Y13</f>
        <v>-1</v>
      </c>
      <c r="AB13" s="18">
        <f>SUM(AB14:AB30)</f>
        <v>2</v>
      </c>
      <c r="AC13" s="18">
        <f>SUM(AC14:AC30)</f>
        <v>0</v>
      </c>
      <c r="AD13" s="43">
        <f>(AC13-AB13)/AB13</f>
        <v>-1</v>
      </c>
      <c r="AE13" s="18">
        <f t="shared" si="0"/>
        <v>-36</v>
      </c>
      <c r="AF13" s="18">
        <f t="shared" si="1"/>
        <v>-8</v>
      </c>
      <c r="AG13" s="18">
        <f t="shared" si="2"/>
        <v>-2</v>
      </c>
    </row>
    <row r="14" spans="1:50" ht="66.599999999999994" customHeight="1" thickBot="1" x14ac:dyDescent="0.3">
      <c r="A14" s="28" t="s">
        <v>135</v>
      </c>
      <c r="B14" s="18">
        <f>SUM(B15:B21)</f>
        <v>83</v>
      </c>
      <c r="C14" s="18">
        <f>SUM(C15:C21)</f>
        <v>0</v>
      </c>
      <c r="D14" s="43">
        <f t="shared" si="11"/>
        <v>-1</v>
      </c>
      <c r="E14" s="18">
        <f>SUM(E15:E21)</f>
        <v>55</v>
      </c>
      <c r="F14" s="18">
        <f>SUM(F15:F21)</f>
        <v>0</v>
      </c>
      <c r="G14" s="43">
        <f t="shared" si="12"/>
        <v>-1</v>
      </c>
      <c r="H14" s="18">
        <f>SUM(H15:H21)</f>
        <v>10647</v>
      </c>
      <c r="I14" s="18">
        <f>SUM(I15:I21)</f>
        <v>0</v>
      </c>
      <c r="J14" s="43">
        <f>(I14-H14)/H14</f>
        <v>-1</v>
      </c>
      <c r="K14" s="18">
        <f>SUM(K15:K21)</f>
        <v>121</v>
      </c>
      <c r="L14" s="18">
        <f>SUM(L15:L21)</f>
        <v>0</v>
      </c>
      <c r="M14" s="43">
        <f t="shared" si="15"/>
        <v>-1</v>
      </c>
      <c r="N14" s="18">
        <f t="shared" si="6"/>
        <v>-83</v>
      </c>
      <c r="O14" s="18">
        <f t="shared" si="7"/>
        <v>-55</v>
      </c>
      <c r="P14" s="18">
        <f t="shared" si="8"/>
        <v>-121</v>
      </c>
      <c r="R14" s="31" t="s">
        <v>187</v>
      </c>
      <c r="S14" s="5">
        <v>9</v>
      </c>
      <c r="T14" s="5">
        <v>0</v>
      </c>
      <c r="U14" s="43">
        <f t="shared" ref="U14:U44" si="16">(T14-S14)/S14</f>
        <v>-1</v>
      </c>
      <c r="V14" s="5">
        <v>1</v>
      </c>
      <c r="W14" s="5">
        <v>0</v>
      </c>
      <c r="X14" s="43">
        <f t="shared" ref="X14:X44" si="17">(W14-V14)/V14</f>
        <v>-1</v>
      </c>
      <c r="Y14" s="5">
        <v>2128</v>
      </c>
      <c r="Z14" s="5">
        <v>0</v>
      </c>
      <c r="AA14" s="43">
        <f t="shared" si="14"/>
        <v>-1</v>
      </c>
      <c r="AB14" s="5">
        <v>0</v>
      </c>
      <c r="AC14" s="5">
        <v>0</v>
      </c>
      <c r="AD14" s="43">
        <v>0</v>
      </c>
      <c r="AE14" s="15">
        <f t="shared" si="0"/>
        <v>-9</v>
      </c>
      <c r="AF14" s="15">
        <f t="shared" si="1"/>
        <v>-1</v>
      </c>
      <c r="AG14" s="15">
        <f t="shared" si="2"/>
        <v>0</v>
      </c>
    </row>
    <row r="15" spans="1:50" ht="51.75" thickBot="1" x14ac:dyDescent="0.3">
      <c r="A15" s="31" t="s">
        <v>136</v>
      </c>
      <c r="B15" s="5">
        <v>19</v>
      </c>
      <c r="C15" s="5">
        <v>0</v>
      </c>
      <c r="D15" s="43">
        <f t="shared" si="11"/>
        <v>-1</v>
      </c>
      <c r="E15" s="5">
        <v>37</v>
      </c>
      <c r="F15" s="5">
        <v>0</v>
      </c>
      <c r="G15" s="43">
        <f t="shared" si="12"/>
        <v>-1</v>
      </c>
      <c r="H15" s="5">
        <v>815</v>
      </c>
      <c r="I15" s="5">
        <v>0</v>
      </c>
      <c r="J15" s="43">
        <f t="shared" si="13"/>
        <v>-1</v>
      </c>
      <c r="K15" s="5">
        <v>85</v>
      </c>
      <c r="L15" s="5">
        <v>0</v>
      </c>
      <c r="M15" s="43">
        <f t="shared" si="15"/>
        <v>-1</v>
      </c>
      <c r="N15" s="15">
        <f t="shared" si="6"/>
        <v>-19</v>
      </c>
      <c r="O15" s="15">
        <f t="shared" si="7"/>
        <v>-37</v>
      </c>
      <c r="P15" s="15">
        <f t="shared" si="8"/>
        <v>-85</v>
      </c>
      <c r="R15" s="31" t="s">
        <v>186</v>
      </c>
      <c r="S15" s="5">
        <v>0</v>
      </c>
      <c r="T15" s="5">
        <v>0</v>
      </c>
      <c r="U15" s="43" t="e">
        <f t="shared" si="16"/>
        <v>#DIV/0!</v>
      </c>
      <c r="V15" s="5">
        <v>0</v>
      </c>
      <c r="W15" s="5">
        <v>0</v>
      </c>
      <c r="X15" s="43" t="e">
        <f t="shared" si="17"/>
        <v>#DIV/0!</v>
      </c>
      <c r="Y15" s="5">
        <v>0</v>
      </c>
      <c r="Z15" s="5">
        <v>0</v>
      </c>
      <c r="AA15" s="43" t="e">
        <f t="shared" si="14"/>
        <v>#DIV/0!</v>
      </c>
      <c r="AB15" s="5">
        <v>0</v>
      </c>
      <c r="AC15" s="5">
        <v>0</v>
      </c>
      <c r="AD15" s="43">
        <v>0</v>
      </c>
      <c r="AE15" s="15">
        <f t="shared" si="0"/>
        <v>0</v>
      </c>
      <c r="AF15" s="15">
        <f t="shared" si="1"/>
        <v>0</v>
      </c>
      <c r="AG15" s="15">
        <f t="shared" si="2"/>
        <v>0</v>
      </c>
    </row>
    <row r="16" spans="1:50" ht="64.5" thickBot="1" x14ac:dyDescent="0.3">
      <c r="A16" s="31" t="s">
        <v>138</v>
      </c>
      <c r="B16" s="5">
        <v>1</v>
      </c>
      <c r="C16" s="5">
        <v>0</v>
      </c>
      <c r="D16" s="43">
        <v>1</v>
      </c>
      <c r="E16" s="5">
        <v>1</v>
      </c>
      <c r="F16" s="5">
        <v>0</v>
      </c>
      <c r="G16" s="43">
        <v>1</v>
      </c>
      <c r="H16" s="5">
        <v>11</v>
      </c>
      <c r="I16" s="5">
        <v>0</v>
      </c>
      <c r="J16" s="43">
        <v>1</v>
      </c>
      <c r="K16" s="5">
        <v>13</v>
      </c>
      <c r="L16" s="5">
        <v>0</v>
      </c>
      <c r="M16" s="43">
        <v>1</v>
      </c>
      <c r="N16" s="15">
        <f t="shared" si="6"/>
        <v>-1</v>
      </c>
      <c r="O16" s="15">
        <f t="shared" si="7"/>
        <v>-1</v>
      </c>
      <c r="P16" s="15">
        <f t="shared" si="8"/>
        <v>-13</v>
      </c>
      <c r="R16" s="31" t="s">
        <v>171</v>
      </c>
      <c r="S16" s="5">
        <v>1</v>
      </c>
      <c r="T16" s="5">
        <v>0</v>
      </c>
      <c r="U16" s="43">
        <v>1</v>
      </c>
      <c r="V16" s="5">
        <v>0</v>
      </c>
      <c r="W16" s="5">
        <v>0</v>
      </c>
      <c r="X16" s="43">
        <v>0</v>
      </c>
      <c r="Y16" s="5">
        <v>1105</v>
      </c>
      <c r="Z16" s="5">
        <v>0</v>
      </c>
      <c r="AA16" s="43">
        <v>1</v>
      </c>
      <c r="AB16" s="5">
        <v>0</v>
      </c>
      <c r="AC16" s="5">
        <v>0</v>
      </c>
      <c r="AD16" s="43">
        <v>0</v>
      </c>
      <c r="AE16" s="15">
        <f t="shared" si="0"/>
        <v>-1</v>
      </c>
      <c r="AF16" s="15">
        <f t="shared" si="1"/>
        <v>0</v>
      </c>
      <c r="AG16" s="15">
        <f t="shared" si="2"/>
        <v>0</v>
      </c>
    </row>
    <row r="17" spans="1:33" ht="51.75" thickBot="1" x14ac:dyDescent="0.3">
      <c r="A17" s="31" t="s">
        <v>139</v>
      </c>
      <c r="B17" s="5">
        <v>1</v>
      </c>
      <c r="C17" s="5">
        <v>0</v>
      </c>
      <c r="D17" s="43">
        <f t="shared" si="11"/>
        <v>-1</v>
      </c>
      <c r="E17" s="5">
        <v>1</v>
      </c>
      <c r="F17" s="5">
        <v>0</v>
      </c>
      <c r="G17" s="43">
        <f t="shared" si="12"/>
        <v>-1</v>
      </c>
      <c r="H17" s="5">
        <v>9659</v>
      </c>
      <c r="I17" s="5">
        <v>0</v>
      </c>
      <c r="J17" s="43">
        <f t="shared" si="13"/>
        <v>-1</v>
      </c>
      <c r="K17" s="5">
        <v>0</v>
      </c>
      <c r="L17" s="5">
        <v>0</v>
      </c>
      <c r="M17" s="43" t="e">
        <f t="shared" si="15"/>
        <v>#DIV/0!</v>
      </c>
      <c r="N17" s="15">
        <f t="shared" si="6"/>
        <v>-1</v>
      </c>
      <c r="O17" s="15">
        <f t="shared" si="7"/>
        <v>-1</v>
      </c>
      <c r="P17" s="15">
        <f t="shared" si="8"/>
        <v>0</v>
      </c>
      <c r="R17" s="31" t="s">
        <v>172</v>
      </c>
      <c r="S17" s="5">
        <v>5</v>
      </c>
      <c r="T17" s="5">
        <v>0</v>
      </c>
      <c r="U17" s="43">
        <v>1</v>
      </c>
      <c r="V17" s="5">
        <v>1</v>
      </c>
      <c r="W17" s="5">
        <v>0</v>
      </c>
      <c r="X17" s="43">
        <v>1</v>
      </c>
      <c r="Y17" s="5">
        <v>203</v>
      </c>
      <c r="Z17" s="5">
        <v>0</v>
      </c>
      <c r="AA17" s="43">
        <v>1</v>
      </c>
      <c r="AB17" s="5">
        <v>0</v>
      </c>
      <c r="AC17" s="5">
        <v>0</v>
      </c>
      <c r="AD17" s="43">
        <v>0</v>
      </c>
      <c r="AE17" s="15">
        <f t="shared" si="0"/>
        <v>-5</v>
      </c>
      <c r="AF17" s="15">
        <f t="shared" si="1"/>
        <v>-1</v>
      </c>
      <c r="AG17" s="15">
        <f t="shared" si="2"/>
        <v>0</v>
      </c>
    </row>
    <row r="18" spans="1:33" ht="64.5" thickBot="1" x14ac:dyDescent="0.3">
      <c r="A18" s="31" t="s">
        <v>140</v>
      </c>
      <c r="B18" s="5">
        <v>0</v>
      </c>
      <c r="C18" s="5">
        <v>0</v>
      </c>
      <c r="D18" s="43">
        <v>0</v>
      </c>
      <c r="E18" s="5">
        <v>0</v>
      </c>
      <c r="F18" s="5">
        <v>0</v>
      </c>
      <c r="G18" s="43">
        <v>0</v>
      </c>
      <c r="H18" s="5">
        <v>0</v>
      </c>
      <c r="I18" s="5">
        <v>0</v>
      </c>
      <c r="J18" s="43">
        <v>0</v>
      </c>
      <c r="K18" s="5">
        <v>0</v>
      </c>
      <c r="L18" s="5">
        <v>0</v>
      </c>
      <c r="M18" s="43">
        <v>0</v>
      </c>
      <c r="N18" s="15">
        <f t="shared" si="6"/>
        <v>0</v>
      </c>
      <c r="O18" s="15">
        <f t="shared" si="7"/>
        <v>0</v>
      </c>
      <c r="P18" s="15">
        <f t="shared" si="8"/>
        <v>0</v>
      </c>
      <c r="R18" s="31" t="s">
        <v>173</v>
      </c>
      <c r="S18" s="5">
        <v>1</v>
      </c>
      <c r="T18" s="5">
        <v>0</v>
      </c>
      <c r="U18" s="43">
        <v>1</v>
      </c>
      <c r="V18" s="5">
        <v>0</v>
      </c>
      <c r="W18" s="5">
        <v>0</v>
      </c>
      <c r="X18" s="43">
        <v>0</v>
      </c>
      <c r="Y18" s="5">
        <v>11012</v>
      </c>
      <c r="Z18" s="5">
        <v>0</v>
      </c>
      <c r="AA18" s="43">
        <v>1</v>
      </c>
      <c r="AB18" s="5">
        <v>0</v>
      </c>
      <c r="AC18" s="5">
        <v>0</v>
      </c>
      <c r="AD18" s="43">
        <v>0</v>
      </c>
      <c r="AE18" s="15">
        <f t="shared" si="0"/>
        <v>-1</v>
      </c>
      <c r="AF18" s="15">
        <f t="shared" si="1"/>
        <v>0</v>
      </c>
      <c r="AG18" s="15">
        <f t="shared" si="2"/>
        <v>0</v>
      </c>
    </row>
    <row r="19" spans="1:33" ht="39" thickBot="1" x14ac:dyDescent="0.3">
      <c r="A19" s="31" t="s">
        <v>141</v>
      </c>
      <c r="B19" s="5">
        <v>2</v>
      </c>
      <c r="C19" s="5">
        <v>0</v>
      </c>
      <c r="D19" s="43">
        <v>1</v>
      </c>
      <c r="E19" s="5">
        <v>5</v>
      </c>
      <c r="F19" s="5">
        <v>0</v>
      </c>
      <c r="G19" s="43">
        <v>1</v>
      </c>
      <c r="H19" s="5">
        <v>5</v>
      </c>
      <c r="I19" s="5">
        <v>0</v>
      </c>
      <c r="J19" s="43">
        <v>1</v>
      </c>
      <c r="K19" s="5">
        <v>0</v>
      </c>
      <c r="L19" s="5">
        <v>0</v>
      </c>
      <c r="M19" s="43">
        <v>0</v>
      </c>
      <c r="N19" s="15">
        <f t="shared" si="6"/>
        <v>-2</v>
      </c>
      <c r="O19" s="15">
        <f t="shared" si="7"/>
        <v>-5</v>
      </c>
      <c r="P19" s="15">
        <f t="shared" si="8"/>
        <v>0</v>
      </c>
      <c r="R19" s="31" t="s">
        <v>174</v>
      </c>
      <c r="S19" s="5">
        <v>0</v>
      </c>
      <c r="T19" s="5">
        <v>0</v>
      </c>
      <c r="U19" s="43">
        <v>0</v>
      </c>
      <c r="V19" s="5">
        <v>0</v>
      </c>
      <c r="W19" s="5">
        <v>0</v>
      </c>
      <c r="X19" s="43">
        <v>0</v>
      </c>
      <c r="Y19" s="5">
        <v>0</v>
      </c>
      <c r="Z19" s="5">
        <v>0</v>
      </c>
      <c r="AA19" s="43">
        <v>0</v>
      </c>
      <c r="AB19" s="5">
        <v>0</v>
      </c>
      <c r="AC19" s="5">
        <v>0</v>
      </c>
      <c r="AD19" s="43">
        <v>0</v>
      </c>
      <c r="AE19" s="15">
        <f t="shared" si="0"/>
        <v>0</v>
      </c>
      <c r="AF19" s="15">
        <f t="shared" si="1"/>
        <v>0</v>
      </c>
      <c r="AG19" s="15">
        <f t="shared" si="2"/>
        <v>0</v>
      </c>
    </row>
    <row r="20" spans="1:33" ht="26.25" thickBot="1" x14ac:dyDescent="0.3">
      <c r="A20" s="31" t="s">
        <v>142</v>
      </c>
      <c r="B20" s="5">
        <v>5</v>
      </c>
      <c r="C20" s="5">
        <v>0</v>
      </c>
      <c r="D20" s="43">
        <v>1</v>
      </c>
      <c r="E20" s="5">
        <v>5</v>
      </c>
      <c r="F20" s="5">
        <v>0</v>
      </c>
      <c r="G20" s="43">
        <v>1</v>
      </c>
      <c r="H20" s="5">
        <v>8</v>
      </c>
      <c r="I20" s="5">
        <v>0</v>
      </c>
      <c r="J20" s="43">
        <v>1</v>
      </c>
      <c r="K20" s="5">
        <v>7</v>
      </c>
      <c r="L20" s="5">
        <v>0</v>
      </c>
      <c r="M20" s="43">
        <v>1</v>
      </c>
      <c r="N20" s="15">
        <f t="shared" si="6"/>
        <v>-5</v>
      </c>
      <c r="O20" s="15">
        <f t="shared" si="7"/>
        <v>-5</v>
      </c>
      <c r="P20" s="15">
        <f t="shared" si="8"/>
        <v>-7</v>
      </c>
      <c r="R20" s="31" t="s">
        <v>175</v>
      </c>
      <c r="S20" s="5">
        <v>2</v>
      </c>
      <c r="T20" s="5">
        <v>0</v>
      </c>
      <c r="U20" s="43">
        <v>1</v>
      </c>
      <c r="V20" s="5">
        <v>0</v>
      </c>
      <c r="W20" s="5">
        <v>0</v>
      </c>
      <c r="X20" s="43">
        <v>0</v>
      </c>
      <c r="Y20" s="5">
        <v>0</v>
      </c>
      <c r="Z20" s="5">
        <v>0</v>
      </c>
      <c r="AA20" s="43">
        <v>0</v>
      </c>
      <c r="AB20" s="5">
        <v>0</v>
      </c>
      <c r="AC20" s="5">
        <v>0</v>
      </c>
      <c r="AD20" s="43">
        <v>0</v>
      </c>
      <c r="AE20" s="15">
        <f t="shared" si="0"/>
        <v>-2</v>
      </c>
      <c r="AF20" s="15">
        <f t="shared" si="1"/>
        <v>0</v>
      </c>
      <c r="AG20" s="15">
        <f t="shared" si="2"/>
        <v>0</v>
      </c>
    </row>
    <row r="21" spans="1:33" ht="26.25" thickBot="1" x14ac:dyDescent="0.3">
      <c r="A21" s="31" t="s">
        <v>137</v>
      </c>
      <c r="B21" s="5">
        <v>55</v>
      </c>
      <c r="C21" s="5">
        <v>0</v>
      </c>
      <c r="D21" s="43">
        <v>1</v>
      </c>
      <c r="E21" s="5">
        <v>6</v>
      </c>
      <c r="F21" s="5">
        <v>0</v>
      </c>
      <c r="G21" s="43">
        <v>1</v>
      </c>
      <c r="H21" s="5">
        <v>149</v>
      </c>
      <c r="I21" s="5">
        <v>0</v>
      </c>
      <c r="J21" s="43">
        <v>1</v>
      </c>
      <c r="K21" s="5">
        <v>16</v>
      </c>
      <c r="L21" s="5">
        <v>0</v>
      </c>
      <c r="M21" s="43">
        <v>1</v>
      </c>
      <c r="N21" s="15">
        <f t="shared" si="6"/>
        <v>-55</v>
      </c>
      <c r="O21" s="15">
        <f t="shared" si="7"/>
        <v>-6</v>
      </c>
      <c r="P21" s="15">
        <f t="shared" si="8"/>
        <v>-16</v>
      </c>
      <c r="R21" s="31" t="s">
        <v>176</v>
      </c>
      <c r="S21" s="5">
        <v>3</v>
      </c>
      <c r="T21" s="5">
        <v>0</v>
      </c>
      <c r="U21" s="43">
        <f t="shared" si="16"/>
        <v>-1</v>
      </c>
      <c r="V21" s="5">
        <v>0</v>
      </c>
      <c r="W21" s="5">
        <v>0</v>
      </c>
      <c r="X21" s="43">
        <v>0</v>
      </c>
      <c r="Y21" s="5">
        <v>371</v>
      </c>
      <c r="Z21" s="5">
        <v>0</v>
      </c>
      <c r="AA21" s="43">
        <v>1</v>
      </c>
      <c r="AB21" s="5">
        <v>0</v>
      </c>
      <c r="AC21" s="5">
        <v>0</v>
      </c>
      <c r="AD21" s="43">
        <v>0</v>
      </c>
      <c r="AE21" s="15">
        <f t="shared" si="0"/>
        <v>-3</v>
      </c>
      <c r="AF21" s="15">
        <f t="shared" si="1"/>
        <v>0</v>
      </c>
      <c r="AG21" s="15">
        <f t="shared" si="2"/>
        <v>0</v>
      </c>
    </row>
    <row r="22" spans="1:33" ht="15.75" thickBot="1" x14ac:dyDescent="0.3">
      <c r="A22" s="28" t="s">
        <v>143</v>
      </c>
      <c r="B22" s="18">
        <f>SUM(B23:B25)</f>
        <v>9</v>
      </c>
      <c r="C22" s="18">
        <f>SUM(C23:C25)</f>
        <v>0</v>
      </c>
      <c r="D22" s="43">
        <f t="shared" si="11"/>
        <v>-1</v>
      </c>
      <c r="E22" s="18">
        <f>SUM(E23:E25)</f>
        <v>0</v>
      </c>
      <c r="F22" s="18">
        <f>SUM(F23:F25)</f>
        <v>0</v>
      </c>
      <c r="G22" s="43" t="e">
        <f t="shared" si="12"/>
        <v>#DIV/0!</v>
      </c>
      <c r="H22" s="18">
        <f>SUM(H23:H25)</f>
        <v>88693</v>
      </c>
      <c r="I22" s="18">
        <f>SUM(I23:I25)</f>
        <v>0</v>
      </c>
      <c r="J22" s="43">
        <f t="shared" si="13"/>
        <v>-1</v>
      </c>
      <c r="K22" s="18">
        <f>SUM(K23:K25)</f>
        <v>0</v>
      </c>
      <c r="L22" s="18">
        <f>SUM(L23:L25)</f>
        <v>0</v>
      </c>
      <c r="M22" s="43" t="e">
        <f t="shared" si="15"/>
        <v>#DIV/0!</v>
      </c>
      <c r="N22" s="18">
        <f t="shared" si="6"/>
        <v>-9</v>
      </c>
      <c r="O22" s="18">
        <f t="shared" si="7"/>
        <v>0</v>
      </c>
      <c r="P22" s="18">
        <f t="shared" si="8"/>
        <v>0</v>
      </c>
      <c r="R22" s="31" t="s">
        <v>177</v>
      </c>
      <c r="S22" s="5">
        <v>0</v>
      </c>
      <c r="T22" s="5">
        <v>0</v>
      </c>
      <c r="U22" s="43">
        <v>0</v>
      </c>
      <c r="V22" s="5">
        <v>0</v>
      </c>
      <c r="W22" s="5">
        <v>0</v>
      </c>
      <c r="X22" s="43">
        <v>0</v>
      </c>
      <c r="Y22" s="5">
        <v>0</v>
      </c>
      <c r="Z22" s="5">
        <v>0</v>
      </c>
      <c r="AA22" s="43">
        <v>0</v>
      </c>
      <c r="AB22" s="5">
        <v>0</v>
      </c>
      <c r="AC22" s="5">
        <v>0</v>
      </c>
      <c r="AD22" s="43">
        <v>0</v>
      </c>
      <c r="AE22" s="15">
        <f t="shared" si="0"/>
        <v>0</v>
      </c>
      <c r="AF22" s="15">
        <f t="shared" si="1"/>
        <v>0</v>
      </c>
      <c r="AG22" s="15">
        <f t="shared" si="2"/>
        <v>0</v>
      </c>
    </row>
    <row r="23" spans="1:33" ht="15.75" thickBot="1" x14ac:dyDescent="0.3">
      <c r="A23" s="31" t="s">
        <v>144</v>
      </c>
      <c r="B23" s="5">
        <v>1</v>
      </c>
      <c r="C23" s="5">
        <v>0</v>
      </c>
      <c r="D23" s="43">
        <v>1</v>
      </c>
      <c r="E23" s="5">
        <v>0</v>
      </c>
      <c r="F23" s="5">
        <v>0</v>
      </c>
      <c r="G23" s="43">
        <v>0</v>
      </c>
      <c r="H23" s="5">
        <v>51</v>
      </c>
      <c r="I23" s="5">
        <v>0</v>
      </c>
      <c r="J23" s="43">
        <v>1</v>
      </c>
      <c r="K23" s="5">
        <v>0</v>
      </c>
      <c r="L23" s="5">
        <v>0</v>
      </c>
      <c r="M23" s="43">
        <v>0</v>
      </c>
      <c r="N23" s="15">
        <f t="shared" si="6"/>
        <v>-1</v>
      </c>
      <c r="O23" s="15">
        <f t="shared" si="7"/>
        <v>0</v>
      </c>
      <c r="P23" s="15">
        <f t="shared" si="8"/>
        <v>0</v>
      </c>
      <c r="R23" s="31" t="s">
        <v>178</v>
      </c>
      <c r="S23" s="5">
        <v>0</v>
      </c>
      <c r="T23" s="5">
        <v>0</v>
      </c>
      <c r="U23" s="43">
        <v>0</v>
      </c>
      <c r="V23" s="5">
        <v>0</v>
      </c>
      <c r="W23" s="5">
        <v>0</v>
      </c>
      <c r="X23" s="43">
        <v>0</v>
      </c>
      <c r="Y23" s="5">
        <v>0</v>
      </c>
      <c r="Z23" s="5">
        <v>0</v>
      </c>
      <c r="AA23" s="43">
        <v>0</v>
      </c>
      <c r="AB23" s="5">
        <v>0</v>
      </c>
      <c r="AC23" s="5">
        <v>0</v>
      </c>
      <c r="AD23" s="43">
        <v>0</v>
      </c>
      <c r="AE23" s="15">
        <f t="shared" si="0"/>
        <v>0</v>
      </c>
      <c r="AF23" s="15">
        <f t="shared" si="1"/>
        <v>0</v>
      </c>
      <c r="AG23" s="15">
        <f t="shared" si="2"/>
        <v>0</v>
      </c>
    </row>
    <row r="24" spans="1:33" ht="39" thickBot="1" x14ac:dyDescent="0.3">
      <c r="A24" s="31" t="s">
        <v>146</v>
      </c>
      <c r="B24" s="5">
        <v>8</v>
      </c>
      <c r="C24" s="5">
        <v>0</v>
      </c>
      <c r="D24" s="43">
        <f t="shared" si="11"/>
        <v>-1</v>
      </c>
      <c r="E24" s="5">
        <v>0</v>
      </c>
      <c r="F24" s="5">
        <v>0</v>
      </c>
      <c r="G24" s="43" t="e">
        <f t="shared" si="12"/>
        <v>#DIV/0!</v>
      </c>
      <c r="H24" s="5">
        <v>88642</v>
      </c>
      <c r="I24" s="5">
        <v>0</v>
      </c>
      <c r="J24" s="43">
        <f t="shared" si="13"/>
        <v>-1</v>
      </c>
      <c r="K24" s="5">
        <v>0</v>
      </c>
      <c r="L24" s="5">
        <v>0</v>
      </c>
      <c r="M24" s="43" t="e">
        <f t="shared" si="15"/>
        <v>#DIV/0!</v>
      </c>
      <c r="N24" s="15">
        <f t="shared" si="6"/>
        <v>-8</v>
      </c>
      <c r="O24" s="15">
        <f t="shared" si="7"/>
        <v>0</v>
      </c>
      <c r="P24" s="15">
        <f t="shared" si="8"/>
        <v>0</v>
      </c>
      <c r="R24" s="31" t="s">
        <v>179</v>
      </c>
      <c r="S24" s="5">
        <v>1</v>
      </c>
      <c r="T24" s="5">
        <v>0</v>
      </c>
      <c r="U24" s="43">
        <v>1</v>
      </c>
      <c r="V24" s="5">
        <v>0</v>
      </c>
      <c r="W24" s="5">
        <v>0</v>
      </c>
      <c r="X24" s="43">
        <v>0</v>
      </c>
      <c r="Y24" s="5">
        <v>49665</v>
      </c>
      <c r="Z24" s="5">
        <v>0</v>
      </c>
      <c r="AA24" s="43">
        <v>1</v>
      </c>
      <c r="AB24" s="5">
        <v>0</v>
      </c>
      <c r="AC24" s="5">
        <v>0</v>
      </c>
      <c r="AD24" s="43">
        <v>0</v>
      </c>
      <c r="AE24" s="15">
        <f t="shared" si="0"/>
        <v>-1</v>
      </c>
      <c r="AF24" s="15">
        <f t="shared" si="1"/>
        <v>0</v>
      </c>
      <c r="AG24" s="15">
        <f t="shared" si="2"/>
        <v>0</v>
      </c>
    </row>
    <row r="25" spans="1:33" ht="15.75" thickBot="1" x14ac:dyDescent="0.3">
      <c r="A25" s="31" t="s">
        <v>145</v>
      </c>
      <c r="B25" s="5">
        <v>0</v>
      </c>
      <c r="C25" s="5">
        <v>0</v>
      </c>
      <c r="D25" s="43">
        <v>0</v>
      </c>
      <c r="E25" s="5">
        <v>0</v>
      </c>
      <c r="F25" s="5">
        <v>0</v>
      </c>
      <c r="G25" s="43">
        <v>0</v>
      </c>
      <c r="H25" s="5">
        <v>0</v>
      </c>
      <c r="I25" s="5">
        <v>0</v>
      </c>
      <c r="J25" s="43">
        <v>0</v>
      </c>
      <c r="K25" s="5">
        <v>0</v>
      </c>
      <c r="L25" s="5">
        <v>0</v>
      </c>
      <c r="M25" s="43">
        <v>0</v>
      </c>
      <c r="N25" s="15">
        <f t="shared" si="6"/>
        <v>0</v>
      </c>
      <c r="O25" s="15">
        <f t="shared" si="7"/>
        <v>0</v>
      </c>
      <c r="P25" s="15">
        <f t="shared" si="8"/>
        <v>0</v>
      </c>
      <c r="R25" s="31" t="s">
        <v>180</v>
      </c>
      <c r="S25" s="5">
        <v>0</v>
      </c>
      <c r="T25" s="5">
        <v>0</v>
      </c>
      <c r="U25" s="43">
        <v>0</v>
      </c>
      <c r="V25" s="5">
        <v>0</v>
      </c>
      <c r="W25" s="5">
        <v>0</v>
      </c>
      <c r="X25" s="43">
        <v>0</v>
      </c>
      <c r="Y25" s="5">
        <v>0</v>
      </c>
      <c r="Z25" s="5">
        <v>0</v>
      </c>
      <c r="AA25" s="43">
        <v>0</v>
      </c>
      <c r="AB25" s="5">
        <v>0</v>
      </c>
      <c r="AC25" s="5">
        <v>0</v>
      </c>
      <c r="AD25" s="43">
        <v>0</v>
      </c>
      <c r="AE25" s="15">
        <f t="shared" si="0"/>
        <v>0</v>
      </c>
      <c r="AF25" s="15">
        <f t="shared" si="1"/>
        <v>0</v>
      </c>
      <c r="AG25" s="15">
        <f t="shared" si="2"/>
        <v>0</v>
      </c>
    </row>
    <row r="26" spans="1:33" ht="26.25" thickBot="1" x14ac:dyDescent="0.3">
      <c r="A26" s="28" t="s">
        <v>147</v>
      </c>
      <c r="B26" s="18">
        <f>SUM(B27:B29)</f>
        <v>0</v>
      </c>
      <c r="C26" s="18">
        <f>SUM(C27:C29)</f>
        <v>0</v>
      </c>
      <c r="D26" s="43">
        <v>0</v>
      </c>
      <c r="E26" s="18">
        <f>SUM(E27:E29)</f>
        <v>0</v>
      </c>
      <c r="F26" s="18">
        <f>SUM(F27:F29)</f>
        <v>0</v>
      </c>
      <c r="G26" s="43">
        <v>0</v>
      </c>
      <c r="H26" s="18">
        <f>SUM(H27:H29)</f>
        <v>0</v>
      </c>
      <c r="I26" s="18">
        <f>SUM(I27:I29)</f>
        <v>0</v>
      </c>
      <c r="J26" s="43">
        <v>0</v>
      </c>
      <c r="K26" s="18">
        <f>SUM(K27:K29)</f>
        <v>0</v>
      </c>
      <c r="L26" s="18">
        <f>SUM(L27:L29)</f>
        <v>0</v>
      </c>
      <c r="M26" s="43">
        <v>0</v>
      </c>
      <c r="N26" s="18">
        <f t="shared" si="6"/>
        <v>0</v>
      </c>
      <c r="O26" s="18">
        <f t="shared" si="7"/>
        <v>0</v>
      </c>
      <c r="P26" s="18">
        <f t="shared" si="8"/>
        <v>0</v>
      </c>
      <c r="R26" s="31" t="s">
        <v>181</v>
      </c>
      <c r="S26" s="5">
        <v>0</v>
      </c>
      <c r="T26" s="5">
        <v>0</v>
      </c>
      <c r="U26" s="43" t="e">
        <f t="shared" si="16"/>
        <v>#DIV/0!</v>
      </c>
      <c r="V26" s="5">
        <v>0</v>
      </c>
      <c r="W26" s="5">
        <v>0</v>
      </c>
      <c r="X26" s="43">
        <v>0</v>
      </c>
      <c r="Y26" s="5">
        <v>0</v>
      </c>
      <c r="Z26" s="5">
        <v>0</v>
      </c>
      <c r="AA26" s="43">
        <v>0</v>
      </c>
      <c r="AB26" s="5">
        <v>0</v>
      </c>
      <c r="AC26" s="5">
        <v>0</v>
      </c>
      <c r="AD26" s="43">
        <v>0</v>
      </c>
      <c r="AE26" s="15">
        <f t="shared" si="0"/>
        <v>0</v>
      </c>
      <c r="AF26" s="15">
        <f t="shared" si="1"/>
        <v>0</v>
      </c>
      <c r="AG26" s="15">
        <f t="shared" si="2"/>
        <v>0</v>
      </c>
    </row>
    <row r="27" spans="1:33" ht="39" thickBot="1" x14ac:dyDescent="0.3">
      <c r="A27" s="31" t="s">
        <v>149</v>
      </c>
      <c r="B27" s="5">
        <v>0</v>
      </c>
      <c r="C27" s="5">
        <v>0</v>
      </c>
      <c r="D27" s="43">
        <v>0</v>
      </c>
      <c r="E27" s="5">
        <v>0</v>
      </c>
      <c r="F27" s="5">
        <v>0</v>
      </c>
      <c r="G27" s="43">
        <v>0</v>
      </c>
      <c r="H27" s="5">
        <v>0</v>
      </c>
      <c r="I27" s="5">
        <v>0</v>
      </c>
      <c r="J27" s="43">
        <v>0</v>
      </c>
      <c r="K27" s="5">
        <v>0</v>
      </c>
      <c r="L27" s="5">
        <v>0</v>
      </c>
      <c r="M27" s="43">
        <v>0</v>
      </c>
      <c r="N27" s="15">
        <f t="shared" si="6"/>
        <v>0</v>
      </c>
      <c r="O27" s="15">
        <f t="shared" si="7"/>
        <v>0</v>
      </c>
      <c r="P27" s="15">
        <f t="shared" si="8"/>
        <v>0</v>
      </c>
      <c r="R27" s="31" t="s">
        <v>182</v>
      </c>
      <c r="S27" s="5">
        <v>1</v>
      </c>
      <c r="T27" s="5">
        <v>0</v>
      </c>
      <c r="U27" s="43">
        <f t="shared" si="16"/>
        <v>-1</v>
      </c>
      <c r="V27" s="5">
        <v>0</v>
      </c>
      <c r="W27" s="5">
        <v>0</v>
      </c>
      <c r="X27" s="43">
        <v>0</v>
      </c>
      <c r="Y27" s="5">
        <v>0</v>
      </c>
      <c r="Z27" s="5">
        <v>0</v>
      </c>
      <c r="AA27" s="43">
        <v>0</v>
      </c>
      <c r="AB27" s="5">
        <v>0</v>
      </c>
      <c r="AC27" s="5">
        <v>0</v>
      </c>
      <c r="AD27" s="43">
        <v>0</v>
      </c>
      <c r="AE27" s="15">
        <f t="shared" si="0"/>
        <v>-1</v>
      </c>
      <c r="AF27" s="15">
        <f t="shared" si="1"/>
        <v>0</v>
      </c>
      <c r="AG27" s="15">
        <f t="shared" si="2"/>
        <v>0</v>
      </c>
    </row>
    <row r="28" spans="1:33" ht="51.75" thickBot="1" x14ac:dyDescent="0.3">
      <c r="A28" s="31" t="s">
        <v>150</v>
      </c>
      <c r="B28" s="5">
        <v>0</v>
      </c>
      <c r="C28" s="5">
        <v>0</v>
      </c>
      <c r="D28" s="43">
        <v>0</v>
      </c>
      <c r="E28" s="5">
        <v>0</v>
      </c>
      <c r="F28" s="5">
        <v>0</v>
      </c>
      <c r="G28" s="43">
        <v>0</v>
      </c>
      <c r="H28" s="5">
        <v>0</v>
      </c>
      <c r="I28" s="5">
        <v>0</v>
      </c>
      <c r="J28" s="43">
        <v>0</v>
      </c>
      <c r="K28" s="5">
        <v>0</v>
      </c>
      <c r="L28" s="5">
        <v>0</v>
      </c>
      <c r="M28" s="43">
        <v>0</v>
      </c>
      <c r="N28" s="15">
        <f t="shared" si="6"/>
        <v>0</v>
      </c>
      <c r="O28" s="15">
        <f t="shared" si="7"/>
        <v>0</v>
      </c>
      <c r="P28" s="15">
        <f t="shared" si="8"/>
        <v>0</v>
      </c>
      <c r="R28" s="31" t="s">
        <v>183</v>
      </c>
      <c r="S28" s="5">
        <v>2</v>
      </c>
      <c r="T28" s="5">
        <v>0</v>
      </c>
      <c r="U28" s="43">
        <f t="shared" si="16"/>
        <v>-1</v>
      </c>
      <c r="V28" s="5">
        <v>0</v>
      </c>
      <c r="W28" s="5">
        <v>0</v>
      </c>
      <c r="X28" s="43">
        <v>0</v>
      </c>
      <c r="Y28" s="5">
        <v>0</v>
      </c>
      <c r="Z28" s="5">
        <v>0</v>
      </c>
      <c r="AA28" s="43">
        <v>0</v>
      </c>
      <c r="AB28" s="5">
        <v>0</v>
      </c>
      <c r="AC28" s="5">
        <v>0</v>
      </c>
      <c r="AD28" s="43">
        <v>0</v>
      </c>
      <c r="AE28" s="15">
        <f t="shared" si="0"/>
        <v>-2</v>
      </c>
      <c r="AF28" s="15">
        <f t="shared" si="1"/>
        <v>0</v>
      </c>
      <c r="AG28" s="15">
        <f t="shared" si="2"/>
        <v>0</v>
      </c>
    </row>
    <row r="29" spans="1:33" ht="26.25" thickBot="1" x14ac:dyDescent="0.3">
      <c r="A29" s="31" t="s">
        <v>148</v>
      </c>
      <c r="B29" s="5">
        <v>0</v>
      </c>
      <c r="C29" s="5">
        <v>0</v>
      </c>
      <c r="D29" s="43">
        <v>0</v>
      </c>
      <c r="E29" s="5">
        <v>0</v>
      </c>
      <c r="F29" s="5">
        <v>0</v>
      </c>
      <c r="G29" s="43">
        <v>0</v>
      </c>
      <c r="H29" s="5">
        <v>0</v>
      </c>
      <c r="I29" s="5">
        <v>0</v>
      </c>
      <c r="J29" s="43">
        <v>0</v>
      </c>
      <c r="K29" s="5">
        <v>0</v>
      </c>
      <c r="L29" s="5">
        <v>0</v>
      </c>
      <c r="M29" s="43">
        <v>0</v>
      </c>
      <c r="N29" s="15">
        <f t="shared" si="6"/>
        <v>0</v>
      </c>
      <c r="O29" s="15">
        <f t="shared" si="7"/>
        <v>0</v>
      </c>
      <c r="P29" s="15">
        <f t="shared" si="8"/>
        <v>0</v>
      </c>
      <c r="R29" s="31" t="s">
        <v>184</v>
      </c>
      <c r="S29" s="5">
        <v>2</v>
      </c>
      <c r="T29" s="5">
        <v>0</v>
      </c>
      <c r="U29" s="43">
        <f t="shared" si="16"/>
        <v>-1</v>
      </c>
      <c r="V29" s="5">
        <v>2</v>
      </c>
      <c r="W29" s="5">
        <v>0</v>
      </c>
      <c r="X29" s="43">
        <f t="shared" si="17"/>
        <v>-1</v>
      </c>
      <c r="Y29" s="5">
        <v>3</v>
      </c>
      <c r="Z29" s="5">
        <v>0</v>
      </c>
      <c r="AA29" s="43">
        <f t="shared" si="14"/>
        <v>-1</v>
      </c>
      <c r="AB29" s="5">
        <v>1</v>
      </c>
      <c r="AC29" s="5">
        <v>0</v>
      </c>
      <c r="AD29" s="43">
        <v>0</v>
      </c>
      <c r="AE29" s="15">
        <f t="shared" si="0"/>
        <v>-2</v>
      </c>
      <c r="AF29" s="15">
        <f t="shared" si="1"/>
        <v>-2</v>
      </c>
      <c r="AG29" s="15">
        <f t="shared" si="2"/>
        <v>-1</v>
      </c>
    </row>
    <row r="30" spans="1:33" ht="26.25" thickBot="1" x14ac:dyDescent="0.3">
      <c r="A30" s="28" t="s">
        <v>151</v>
      </c>
      <c r="B30" s="18">
        <f>SUM(B31)</f>
        <v>8</v>
      </c>
      <c r="C30" s="18">
        <f>SUM(C31)</f>
        <v>0</v>
      </c>
      <c r="D30" s="43">
        <f t="shared" si="11"/>
        <v>-1</v>
      </c>
      <c r="E30" s="18">
        <f>SUM(E31)</f>
        <v>2</v>
      </c>
      <c r="F30" s="18">
        <f>SUM(F31)</f>
        <v>0</v>
      </c>
      <c r="G30" s="43">
        <v>1</v>
      </c>
      <c r="H30" s="18">
        <f>SUM(H31)</f>
        <v>10</v>
      </c>
      <c r="I30" s="18">
        <f>SUM(I31)</f>
        <v>0</v>
      </c>
      <c r="J30" s="43">
        <f t="shared" si="13"/>
        <v>-1</v>
      </c>
      <c r="K30" s="18">
        <f>SUM(K31)</f>
        <v>8</v>
      </c>
      <c r="L30" s="18">
        <f>SUM(L31)</f>
        <v>0</v>
      </c>
      <c r="M30" s="43">
        <v>1</v>
      </c>
      <c r="N30" s="18">
        <f t="shared" si="6"/>
        <v>-8</v>
      </c>
      <c r="O30" s="18">
        <f t="shared" si="7"/>
        <v>-2</v>
      </c>
      <c r="P30" s="18">
        <f t="shared" si="8"/>
        <v>-8</v>
      </c>
      <c r="R30" s="31" t="s">
        <v>185</v>
      </c>
      <c r="S30" s="5">
        <v>9</v>
      </c>
      <c r="T30" s="5">
        <v>0</v>
      </c>
      <c r="U30" s="43">
        <v>1</v>
      </c>
      <c r="V30" s="5">
        <v>4</v>
      </c>
      <c r="W30" s="5">
        <v>0</v>
      </c>
      <c r="X30" s="43">
        <v>1</v>
      </c>
      <c r="Y30" s="5">
        <v>13467</v>
      </c>
      <c r="Z30" s="5">
        <v>0</v>
      </c>
      <c r="AA30" s="43">
        <v>1</v>
      </c>
      <c r="AB30" s="5">
        <v>1</v>
      </c>
      <c r="AC30" s="5">
        <v>0</v>
      </c>
      <c r="AD30" s="43">
        <v>1</v>
      </c>
      <c r="AE30" s="15">
        <f t="shared" si="0"/>
        <v>-9</v>
      </c>
      <c r="AF30" s="15">
        <f t="shared" si="1"/>
        <v>-4</v>
      </c>
      <c r="AG30" s="15">
        <f t="shared" si="2"/>
        <v>-1</v>
      </c>
    </row>
    <row r="31" spans="1:33" ht="90" thickBot="1" x14ac:dyDescent="0.3">
      <c r="A31" s="31" t="s">
        <v>152</v>
      </c>
      <c r="B31" s="5">
        <v>8</v>
      </c>
      <c r="C31" s="5">
        <v>0</v>
      </c>
      <c r="D31" s="43">
        <f t="shared" si="11"/>
        <v>-1</v>
      </c>
      <c r="E31" s="5">
        <v>2</v>
      </c>
      <c r="F31" s="5">
        <v>0</v>
      </c>
      <c r="G31" s="43">
        <v>1</v>
      </c>
      <c r="H31" s="5">
        <v>10</v>
      </c>
      <c r="I31" s="5">
        <v>0</v>
      </c>
      <c r="J31" s="43">
        <f t="shared" si="13"/>
        <v>-1</v>
      </c>
      <c r="K31" s="5">
        <v>8</v>
      </c>
      <c r="L31" s="5">
        <v>0</v>
      </c>
      <c r="M31" s="43">
        <v>1</v>
      </c>
      <c r="N31" s="15">
        <f t="shared" si="6"/>
        <v>-8</v>
      </c>
      <c r="O31" s="15">
        <f t="shared" si="7"/>
        <v>-2</v>
      </c>
      <c r="P31" s="15">
        <f t="shared" si="8"/>
        <v>-8</v>
      </c>
      <c r="R31" s="28" t="s">
        <v>189</v>
      </c>
      <c r="S31" s="18">
        <f>SUM(S32:S35)</f>
        <v>0</v>
      </c>
      <c r="T31" s="18">
        <f>SUM(T32:T35)</f>
        <v>0</v>
      </c>
      <c r="U31" s="43">
        <v>0</v>
      </c>
      <c r="V31" s="18">
        <f>SUM(V32:V35)</f>
        <v>0</v>
      </c>
      <c r="W31" s="18">
        <f>SUM(W32:W35)</f>
        <v>0</v>
      </c>
      <c r="X31" s="43">
        <v>0</v>
      </c>
      <c r="Y31" s="18">
        <f>SUM(Y32:Y35)</f>
        <v>0</v>
      </c>
      <c r="Z31" s="18">
        <f>SUM(Z32:Z35)</f>
        <v>0</v>
      </c>
      <c r="AA31" s="43">
        <v>0</v>
      </c>
      <c r="AB31" s="18">
        <f>SUM(AB32:AB35)</f>
        <v>0</v>
      </c>
      <c r="AC31" s="18">
        <f>SUM(AC32:AC35)</f>
        <v>0</v>
      </c>
      <c r="AD31" s="43">
        <v>0</v>
      </c>
      <c r="AE31" s="18">
        <f t="shared" si="0"/>
        <v>0</v>
      </c>
      <c r="AF31" s="18">
        <f t="shared" si="1"/>
        <v>0</v>
      </c>
      <c r="AG31" s="18">
        <f t="shared" si="2"/>
        <v>0</v>
      </c>
    </row>
    <row r="32" spans="1:33" ht="51.75" thickBot="1" x14ac:dyDescent="0.3">
      <c r="A32" s="28" t="s">
        <v>153</v>
      </c>
      <c r="B32" s="18">
        <f>SUM(B33:B35)</f>
        <v>0</v>
      </c>
      <c r="C32" s="18">
        <f>SUM(C33:C35)</f>
        <v>0</v>
      </c>
      <c r="D32" s="43">
        <v>0</v>
      </c>
      <c r="E32" s="18">
        <f>SUM(E33:E35)</f>
        <v>0</v>
      </c>
      <c r="F32" s="18">
        <f>SUM(F33:F35)</f>
        <v>0</v>
      </c>
      <c r="G32" s="43">
        <v>0</v>
      </c>
      <c r="H32" s="18">
        <f>SUM(H33:H35)</f>
        <v>0</v>
      </c>
      <c r="I32" s="18">
        <f>SUM(I33:I35)</f>
        <v>0</v>
      </c>
      <c r="J32" s="43">
        <v>0</v>
      </c>
      <c r="K32" s="18">
        <f>SUM(K33:K35)</f>
        <v>0</v>
      </c>
      <c r="L32" s="18">
        <f>SUM(L33:L35)</f>
        <v>0</v>
      </c>
      <c r="M32" s="43">
        <v>0</v>
      </c>
      <c r="N32" s="18">
        <f t="shared" si="6"/>
        <v>0</v>
      </c>
      <c r="O32" s="18">
        <f t="shared" si="7"/>
        <v>0</v>
      </c>
      <c r="P32" s="18">
        <f t="shared" si="8"/>
        <v>0</v>
      </c>
      <c r="R32" s="31" t="s">
        <v>190</v>
      </c>
      <c r="S32" s="5">
        <v>0</v>
      </c>
      <c r="T32" s="5">
        <v>0</v>
      </c>
      <c r="U32" s="43">
        <v>0</v>
      </c>
      <c r="V32" s="5">
        <v>0</v>
      </c>
      <c r="W32" s="5">
        <v>0</v>
      </c>
      <c r="X32" s="43">
        <v>0</v>
      </c>
      <c r="Y32" s="5">
        <v>0</v>
      </c>
      <c r="Z32" s="5">
        <v>0</v>
      </c>
      <c r="AA32" s="43">
        <v>0</v>
      </c>
      <c r="AB32" s="5">
        <v>0</v>
      </c>
      <c r="AC32" s="5">
        <v>0</v>
      </c>
      <c r="AD32" s="43">
        <v>0</v>
      </c>
      <c r="AE32" s="15">
        <f t="shared" si="0"/>
        <v>0</v>
      </c>
      <c r="AF32" s="15">
        <f t="shared" si="1"/>
        <v>0</v>
      </c>
      <c r="AG32" s="15">
        <f t="shared" si="2"/>
        <v>0</v>
      </c>
    </row>
    <row r="33" spans="1:33" ht="102.75" thickBot="1" x14ac:dyDescent="0.3">
      <c r="A33" s="31" t="s">
        <v>154</v>
      </c>
      <c r="B33" s="5">
        <v>0</v>
      </c>
      <c r="C33" s="5">
        <v>0</v>
      </c>
      <c r="D33" s="43">
        <v>0</v>
      </c>
      <c r="E33" s="5">
        <v>0</v>
      </c>
      <c r="F33" s="5">
        <v>0</v>
      </c>
      <c r="G33" s="43">
        <v>0</v>
      </c>
      <c r="H33" s="5">
        <v>0</v>
      </c>
      <c r="I33" s="5">
        <v>0</v>
      </c>
      <c r="J33" s="43">
        <v>0</v>
      </c>
      <c r="K33" s="5">
        <v>0</v>
      </c>
      <c r="L33" s="5">
        <v>0</v>
      </c>
      <c r="M33" s="43">
        <v>0</v>
      </c>
      <c r="N33" s="15">
        <f t="shared" si="6"/>
        <v>0</v>
      </c>
      <c r="O33" s="15">
        <f t="shared" si="7"/>
        <v>0</v>
      </c>
      <c r="P33" s="15">
        <f t="shared" si="8"/>
        <v>0</v>
      </c>
      <c r="R33" s="31" t="s">
        <v>191</v>
      </c>
      <c r="S33" s="5">
        <v>0</v>
      </c>
      <c r="T33" s="5">
        <v>0</v>
      </c>
      <c r="U33" s="43">
        <v>0</v>
      </c>
      <c r="V33" s="5">
        <v>0</v>
      </c>
      <c r="W33" s="5">
        <v>0</v>
      </c>
      <c r="X33" s="43">
        <v>0</v>
      </c>
      <c r="Y33" s="5">
        <v>0</v>
      </c>
      <c r="Z33" s="5">
        <v>0</v>
      </c>
      <c r="AA33" s="43">
        <v>0</v>
      </c>
      <c r="AB33" s="5">
        <v>0</v>
      </c>
      <c r="AC33" s="5">
        <v>0</v>
      </c>
      <c r="AD33" s="43">
        <v>0</v>
      </c>
      <c r="AE33" s="15">
        <f t="shared" si="0"/>
        <v>0</v>
      </c>
      <c r="AF33" s="15">
        <f t="shared" si="1"/>
        <v>0</v>
      </c>
      <c r="AG33" s="15">
        <f t="shared" si="2"/>
        <v>0</v>
      </c>
    </row>
    <row r="34" spans="1:33" ht="102.75" thickBot="1" x14ac:dyDescent="0.3">
      <c r="A34" s="31" t="s">
        <v>155</v>
      </c>
      <c r="B34" s="5">
        <v>0</v>
      </c>
      <c r="C34" s="5">
        <v>0</v>
      </c>
      <c r="D34" s="43">
        <v>0</v>
      </c>
      <c r="E34" s="5">
        <v>0</v>
      </c>
      <c r="F34" s="5">
        <v>0</v>
      </c>
      <c r="G34" s="43">
        <v>0</v>
      </c>
      <c r="H34" s="5">
        <v>0</v>
      </c>
      <c r="I34" s="5">
        <v>0</v>
      </c>
      <c r="J34" s="43">
        <v>0</v>
      </c>
      <c r="K34" s="5">
        <v>0</v>
      </c>
      <c r="L34" s="5">
        <v>0</v>
      </c>
      <c r="M34" s="43">
        <v>0</v>
      </c>
      <c r="N34" s="15">
        <f t="shared" si="6"/>
        <v>0</v>
      </c>
      <c r="O34" s="15">
        <f t="shared" si="7"/>
        <v>0</v>
      </c>
      <c r="P34" s="15">
        <f t="shared" si="8"/>
        <v>0</v>
      </c>
      <c r="R34" s="31" t="s">
        <v>192</v>
      </c>
      <c r="S34" s="5">
        <v>0</v>
      </c>
      <c r="T34" s="5">
        <v>0</v>
      </c>
      <c r="U34" s="43">
        <v>0</v>
      </c>
      <c r="V34" s="5">
        <v>0</v>
      </c>
      <c r="W34" s="5">
        <v>0</v>
      </c>
      <c r="X34" s="43">
        <v>0</v>
      </c>
      <c r="Y34" s="5">
        <v>0</v>
      </c>
      <c r="Z34" s="5">
        <v>0</v>
      </c>
      <c r="AA34" s="43">
        <v>0</v>
      </c>
      <c r="AB34" s="5">
        <v>0</v>
      </c>
      <c r="AC34" s="5">
        <v>0</v>
      </c>
      <c r="AD34" s="43">
        <v>0</v>
      </c>
      <c r="AE34" s="15">
        <f t="shared" si="0"/>
        <v>0</v>
      </c>
      <c r="AF34" s="15">
        <f t="shared" si="1"/>
        <v>0</v>
      </c>
      <c r="AG34" s="15">
        <f t="shared" si="2"/>
        <v>0</v>
      </c>
    </row>
    <row r="35" spans="1:33" ht="39" thickBot="1" x14ac:dyDescent="0.3">
      <c r="A35" s="31" t="s">
        <v>156</v>
      </c>
      <c r="B35" s="5">
        <v>0</v>
      </c>
      <c r="C35" s="5">
        <v>0</v>
      </c>
      <c r="D35" s="43">
        <v>0</v>
      </c>
      <c r="E35" s="5">
        <v>0</v>
      </c>
      <c r="F35" s="5">
        <v>0</v>
      </c>
      <c r="G35" s="43">
        <v>0</v>
      </c>
      <c r="H35" s="5">
        <v>0</v>
      </c>
      <c r="I35" s="5">
        <v>0</v>
      </c>
      <c r="J35" s="43">
        <v>0</v>
      </c>
      <c r="K35" s="5">
        <v>0</v>
      </c>
      <c r="L35" s="5">
        <v>0</v>
      </c>
      <c r="M35" s="43">
        <v>0</v>
      </c>
      <c r="N35" s="15">
        <f t="shared" si="6"/>
        <v>0</v>
      </c>
      <c r="O35" s="15">
        <f t="shared" si="7"/>
        <v>0</v>
      </c>
      <c r="P35" s="15">
        <f t="shared" si="8"/>
        <v>0</v>
      </c>
      <c r="R35" s="31" t="s">
        <v>193</v>
      </c>
      <c r="S35" s="5">
        <v>0</v>
      </c>
      <c r="T35" s="5">
        <v>0</v>
      </c>
      <c r="U35" s="43">
        <v>0</v>
      </c>
      <c r="V35" s="5">
        <v>0</v>
      </c>
      <c r="W35" s="5">
        <v>0</v>
      </c>
      <c r="X35" s="43">
        <v>0</v>
      </c>
      <c r="Y35" s="5">
        <v>0</v>
      </c>
      <c r="Z35" s="5">
        <v>0</v>
      </c>
      <c r="AA35" s="43">
        <v>0</v>
      </c>
      <c r="AB35" s="5">
        <v>0</v>
      </c>
      <c r="AC35" s="5">
        <v>0</v>
      </c>
      <c r="AD35" s="43">
        <v>0</v>
      </c>
      <c r="AE35" s="15">
        <f t="shared" si="0"/>
        <v>0</v>
      </c>
      <c r="AF35" s="15">
        <f t="shared" si="1"/>
        <v>0</v>
      </c>
      <c r="AG35" s="15">
        <f t="shared" si="2"/>
        <v>0</v>
      </c>
    </row>
    <row r="36" spans="1:33" ht="26.25" thickBot="1" x14ac:dyDescent="0.3">
      <c r="A36" s="28" t="s">
        <v>157</v>
      </c>
      <c r="B36" s="18">
        <f>SUM(B37)</f>
        <v>0</v>
      </c>
      <c r="C36" s="18">
        <f>SUM(C37)</f>
        <v>0</v>
      </c>
      <c r="D36" s="43">
        <v>0</v>
      </c>
      <c r="E36" s="18">
        <f>SUM(E37)</f>
        <v>0</v>
      </c>
      <c r="F36" s="18">
        <f>SUM(F37)</f>
        <v>0</v>
      </c>
      <c r="G36" s="43">
        <v>0</v>
      </c>
      <c r="H36" s="18">
        <f>SUM(H37)</f>
        <v>0</v>
      </c>
      <c r="I36" s="18">
        <f>SUM(I37)</f>
        <v>0</v>
      </c>
      <c r="J36" s="43">
        <v>0</v>
      </c>
      <c r="K36" s="18">
        <f>SUM(K37)</f>
        <v>0</v>
      </c>
      <c r="L36" s="18">
        <f>SUM(L37)</f>
        <v>0</v>
      </c>
      <c r="M36" s="43">
        <v>0</v>
      </c>
      <c r="N36" s="18">
        <f t="shared" si="6"/>
        <v>0</v>
      </c>
      <c r="O36" s="18">
        <f t="shared" si="7"/>
        <v>0</v>
      </c>
      <c r="P36" s="18">
        <f t="shared" si="8"/>
        <v>0</v>
      </c>
      <c r="R36" s="28" t="s">
        <v>194</v>
      </c>
      <c r="S36" s="18">
        <f>SUM(S37:S42)</f>
        <v>9</v>
      </c>
      <c r="T36" s="18">
        <f>SUM(T37:T42)</f>
        <v>0</v>
      </c>
      <c r="U36" s="43">
        <f t="shared" si="16"/>
        <v>-1</v>
      </c>
      <c r="V36" s="18">
        <f>SUM(V37:V42)</f>
        <v>9</v>
      </c>
      <c r="W36" s="18">
        <f>SUM(W37:W42)</f>
        <v>0</v>
      </c>
      <c r="X36" s="43">
        <f t="shared" si="17"/>
        <v>-1</v>
      </c>
      <c r="Y36" s="18">
        <f>SUM(Y37:Y42)</f>
        <v>55279</v>
      </c>
      <c r="Z36" s="18">
        <f>SUM(Z37:Z42)</f>
        <v>0</v>
      </c>
      <c r="AA36" s="43">
        <f t="shared" si="14"/>
        <v>-1</v>
      </c>
      <c r="AB36" s="18">
        <f>SUM(AB37:AB42)</f>
        <v>381</v>
      </c>
      <c r="AC36" s="18">
        <f>SUM(AC37:AC42)</f>
        <v>0</v>
      </c>
      <c r="AD36" s="43">
        <f t="shared" ref="AD36:AD44" si="18">(AC36-AB36)/AB36</f>
        <v>-1</v>
      </c>
      <c r="AE36" s="18">
        <f t="shared" si="0"/>
        <v>-9</v>
      </c>
      <c r="AF36" s="18">
        <f t="shared" si="1"/>
        <v>-9</v>
      </c>
      <c r="AG36" s="18">
        <f t="shared" si="2"/>
        <v>-381</v>
      </c>
    </row>
    <row r="37" spans="1:33" ht="64.5" thickBot="1" x14ac:dyDescent="0.3">
      <c r="A37" s="31" t="s">
        <v>158</v>
      </c>
      <c r="B37" s="5">
        <v>0</v>
      </c>
      <c r="C37" s="5">
        <v>0</v>
      </c>
      <c r="D37" s="43">
        <v>0</v>
      </c>
      <c r="E37" s="5">
        <v>0</v>
      </c>
      <c r="F37" s="5">
        <v>0</v>
      </c>
      <c r="G37" s="43">
        <v>0</v>
      </c>
      <c r="H37" s="5">
        <v>0</v>
      </c>
      <c r="I37" s="5">
        <v>0</v>
      </c>
      <c r="J37" s="43">
        <v>0</v>
      </c>
      <c r="K37" s="5">
        <v>0</v>
      </c>
      <c r="L37" s="5">
        <v>0</v>
      </c>
      <c r="M37" s="43">
        <v>0</v>
      </c>
      <c r="N37" s="15">
        <f t="shared" si="6"/>
        <v>0</v>
      </c>
      <c r="O37" s="15">
        <f t="shared" si="7"/>
        <v>0</v>
      </c>
      <c r="P37" s="15">
        <f t="shared" si="8"/>
        <v>0</v>
      </c>
      <c r="R37" s="31" t="s">
        <v>200</v>
      </c>
      <c r="S37" s="5">
        <v>9</v>
      </c>
      <c r="T37" s="5">
        <v>0</v>
      </c>
      <c r="U37" s="43">
        <f t="shared" si="16"/>
        <v>-1</v>
      </c>
      <c r="V37" s="5">
        <v>9</v>
      </c>
      <c r="W37" s="5">
        <v>0</v>
      </c>
      <c r="X37" s="43">
        <f t="shared" si="17"/>
        <v>-1</v>
      </c>
      <c r="Y37" s="5">
        <v>55279</v>
      </c>
      <c r="Z37" s="5">
        <v>0</v>
      </c>
      <c r="AA37" s="43">
        <f t="shared" si="14"/>
        <v>-1</v>
      </c>
      <c r="AB37" s="5">
        <v>381</v>
      </c>
      <c r="AC37" s="5">
        <v>0</v>
      </c>
      <c r="AD37" s="43">
        <f t="shared" si="18"/>
        <v>-1</v>
      </c>
      <c r="AE37" s="15">
        <f t="shared" si="0"/>
        <v>-9</v>
      </c>
      <c r="AF37" s="15">
        <f t="shared" si="1"/>
        <v>-9</v>
      </c>
      <c r="AG37" s="15">
        <f t="shared" si="2"/>
        <v>-381</v>
      </c>
    </row>
    <row r="38" spans="1:33" ht="15.75" thickBot="1" x14ac:dyDescent="0.3">
      <c r="A38" s="28" t="s">
        <v>159</v>
      </c>
      <c r="B38" s="18">
        <f>SUM(B39)</f>
        <v>0</v>
      </c>
      <c r="C38" s="18">
        <f>SUM(C39)</f>
        <v>0</v>
      </c>
      <c r="D38" s="43">
        <v>0</v>
      </c>
      <c r="E38" s="18">
        <f>SUM(E39)</f>
        <v>0</v>
      </c>
      <c r="F38" s="18">
        <f>SUM(F39)</f>
        <v>0</v>
      </c>
      <c r="G38" s="43">
        <v>0</v>
      </c>
      <c r="H38" s="18">
        <f>SUM(H39)</f>
        <v>0</v>
      </c>
      <c r="I38" s="18">
        <f>SUM(I39)</f>
        <v>0</v>
      </c>
      <c r="J38" s="43">
        <v>0</v>
      </c>
      <c r="K38" s="18">
        <f>SUM(K39)</f>
        <v>0</v>
      </c>
      <c r="L38" s="18">
        <f>SUM(L39)</f>
        <v>0</v>
      </c>
      <c r="M38" s="43">
        <v>0</v>
      </c>
      <c r="N38" s="18">
        <f t="shared" si="6"/>
        <v>0</v>
      </c>
      <c r="O38" s="18">
        <f t="shared" si="7"/>
        <v>0</v>
      </c>
      <c r="P38" s="18">
        <f t="shared" si="8"/>
        <v>0</v>
      </c>
      <c r="R38" s="31" t="s">
        <v>195</v>
      </c>
      <c r="S38" s="5">
        <v>0</v>
      </c>
      <c r="T38" s="5">
        <v>0</v>
      </c>
      <c r="U38" s="43">
        <v>0</v>
      </c>
      <c r="V38" s="5">
        <v>0</v>
      </c>
      <c r="W38" s="5">
        <v>0</v>
      </c>
      <c r="X38" s="43">
        <v>0</v>
      </c>
      <c r="Y38" s="5">
        <v>0</v>
      </c>
      <c r="Z38" s="5">
        <v>0</v>
      </c>
      <c r="AA38" s="43">
        <v>0</v>
      </c>
      <c r="AB38" s="5">
        <v>0</v>
      </c>
      <c r="AC38" s="5">
        <v>0</v>
      </c>
      <c r="AD38" s="43">
        <v>0</v>
      </c>
      <c r="AE38" s="15">
        <f t="shared" si="0"/>
        <v>0</v>
      </c>
      <c r="AF38" s="15">
        <f t="shared" si="1"/>
        <v>0</v>
      </c>
      <c r="AG38" s="15">
        <f t="shared" si="2"/>
        <v>0</v>
      </c>
    </row>
    <row r="39" spans="1:33" ht="15.75" thickBot="1" x14ac:dyDescent="0.3">
      <c r="A39" s="31" t="s">
        <v>160</v>
      </c>
      <c r="B39" s="5">
        <v>0</v>
      </c>
      <c r="C39" s="5">
        <v>0</v>
      </c>
      <c r="D39" s="43">
        <v>0</v>
      </c>
      <c r="E39" s="5">
        <v>0</v>
      </c>
      <c r="F39" s="5">
        <v>0</v>
      </c>
      <c r="G39" s="43">
        <v>0</v>
      </c>
      <c r="H39" s="5">
        <v>0</v>
      </c>
      <c r="I39" s="5">
        <v>0</v>
      </c>
      <c r="J39" s="43">
        <v>0</v>
      </c>
      <c r="K39" s="5">
        <v>0</v>
      </c>
      <c r="L39" s="5">
        <v>0</v>
      </c>
      <c r="M39" s="43">
        <v>0</v>
      </c>
      <c r="N39" s="15">
        <f t="shared" si="6"/>
        <v>0</v>
      </c>
      <c r="O39" s="15">
        <f t="shared" si="7"/>
        <v>0</v>
      </c>
      <c r="P39" s="15">
        <f t="shared" si="8"/>
        <v>0</v>
      </c>
      <c r="R39" s="31" t="s">
        <v>196</v>
      </c>
      <c r="S39" s="5">
        <v>0</v>
      </c>
      <c r="T39" s="5">
        <v>0</v>
      </c>
      <c r="U39" s="43">
        <v>-1</v>
      </c>
      <c r="V39" s="5">
        <v>0</v>
      </c>
      <c r="W39" s="5">
        <v>0</v>
      </c>
      <c r="X39" s="43">
        <v>0</v>
      </c>
      <c r="Y39" s="5">
        <v>0</v>
      </c>
      <c r="Z39" s="5">
        <v>0</v>
      </c>
      <c r="AA39" s="43">
        <v>0</v>
      </c>
      <c r="AB39" s="5">
        <v>0</v>
      </c>
      <c r="AC39" s="5">
        <v>0</v>
      </c>
      <c r="AD39" s="43">
        <v>-1</v>
      </c>
      <c r="AE39" s="15">
        <f t="shared" si="0"/>
        <v>0</v>
      </c>
      <c r="AF39" s="15">
        <f t="shared" si="1"/>
        <v>0</v>
      </c>
      <c r="AG39" s="15">
        <f t="shared" si="2"/>
        <v>0</v>
      </c>
    </row>
    <row r="40" spans="1:33" ht="15.75" thickBot="1" x14ac:dyDescent="0.3">
      <c r="A40" s="29" t="s">
        <v>13</v>
      </c>
      <c r="B40" s="33">
        <f>SUM(B5,B14,B22,B26,B30,B32,B36,B38)</f>
        <v>164</v>
      </c>
      <c r="C40" s="33">
        <f>SUM(C5,C14,C22,C26,C30,C32,C36,C38)</f>
        <v>0</v>
      </c>
      <c r="D40" s="43">
        <f>(C40-B40)/B40</f>
        <v>-1</v>
      </c>
      <c r="E40" s="33">
        <f>SUM(E5,E14,E22,E26,E30,E32,E36,E38)</f>
        <v>181</v>
      </c>
      <c r="F40" s="33">
        <f>SUM(F5,F14,F22,F26,F30,F32,F36,F38)</f>
        <v>0</v>
      </c>
      <c r="G40" s="43">
        <f>(F40-E40)/E40</f>
        <v>-1</v>
      </c>
      <c r="H40" s="33">
        <f>SUM(H5,H14,H22,H26,H30,H32,H36,H38)</f>
        <v>100912</v>
      </c>
      <c r="I40" s="33">
        <f>SUM(I5,I14,I22,I26,I30,I32,I36,I38)</f>
        <v>0</v>
      </c>
      <c r="J40" s="43">
        <f>(I40-H40)/H40</f>
        <v>-1</v>
      </c>
      <c r="K40" s="33">
        <f>SUM(K5,K14,K22,K26,K30,K32,K36,K38)</f>
        <v>400</v>
      </c>
      <c r="L40" s="33">
        <f>SUM(L5,L14,L22,L26,L30,L32,L36,L38)</f>
        <v>0</v>
      </c>
      <c r="M40" s="43">
        <f>(L40-K40)/K40</f>
        <v>-1</v>
      </c>
      <c r="N40" s="33">
        <f t="shared" si="6"/>
        <v>-164</v>
      </c>
      <c r="O40" s="33">
        <f t="shared" si="7"/>
        <v>-181</v>
      </c>
      <c r="P40" s="39">
        <f t="shared" si="8"/>
        <v>-400</v>
      </c>
      <c r="R40" s="31" t="s">
        <v>197</v>
      </c>
      <c r="S40" s="5">
        <v>0</v>
      </c>
      <c r="T40" s="5">
        <v>0</v>
      </c>
      <c r="U40" s="43">
        <v>0</v>
      </c>
      <c r="V40" s="5">
        <v>0</v>
      </c>
      <c r="W40" s="5">
        <v>0</v>
      </c>
      <c r="X40" s="43">
        <v>0</v>
      </c>
      <c r="Y40" s="5">
        <v>0</v>
      </c>
      <c r="Z40" s="5">
        <v>0</v>
      </c>
      <c r="AA40" s="43">
        <v>0</v>
      </c>
      <c r="AB40" s="5">
        <v>0</v>
      </c>
      <c r="AC40" s="5">
        <v>0</v>
      </c>
      <c r="AD40" s="43">
        <v>0</v>
      </c>
      <c r="AE40" s="15">
        <f t="shared" si="0"/>
        <v>0</v>
      </c>
      <c r="AF40" s="15">
        <f t="shared" si="1"/>
        <v>0</v>
      </c>
      <c r="AG40" s="15">
        <f t="shared" si="2"/>
        <v>0</v>
      </c>
    </row>
    <row r="41" spans="1:33" ht="15.75" thickBot="1" x14ac:dyDescent="0.3">
      <c r="R41" s="31" t="s">
        <v>198</v>
      </c>
      <c r="S41" s="5">
        <v>0</v>
      </c>
      <c r="T41" s="5">
        <v>0</v>
      </c>
      <c r="U41" s="43">
        <v>0</v>
      </c>
      <c r="V41" s="5">
        <v>0</v>
      </c>
      <c r="W41" s="5">
        <v>0</v>
      </c>
      <c r="X41" s="43">
        <v>0</v>
      </c>
      <c r="Y41" s="5">
        <v>0</v>
      </c>
      <c r="Z41" s="5">
        <v>0</v>
      </c>
      <c r="AA41" s="43">
        <v>0</v>
      </c>
      <c r="AB41" s="5">
        <v>0</v>
      </c>
      <c r="AC41" s="5">
        <v>0</v>
      </c>
      <c r="AD41" s="43">
        <v>0</v>
      </c>
      <c r="AE41" s="15">
        <f t="shared" si="0"/>
        <v>0</v>
      </c>
      <c r="AF41" s="15">
        <f t="shared" si="1"/>
        <v>0</v>
      </c>
      <c r="AG41" s="15">
        <f t="shared" si="2"/>
        <v>0</v>
      </c>
    </row>
    <row r="42" spans="1:33" ht="15.75" thickBot="1" x14ac:dyDescent="0.3">
      <c r="R42" s="31" t="s">
        <v>199</v>
      </c>
      <c r="S42" s="5">
        <v>0</v>
      </c>
      <c r="T42" s="5">
        <v>0</v>
      </c>
      <c r="U42" s="43">
        <v>0</v>
      </c>
      <c r="V42" s="5">
        <v>0</v>
      </c>
      <c r="W42" s="5">
        <v>0</v>
      </c>
      <c r="X42" s="43">
        <v>0</v>
      </c>
      <c r="Y42" s="5">
        <v>0</v>
      </c>
      <c r="Z42" s="5">
        <v>0</v>
      </c>
      <c r="AA42" s="43">
        <v>0</v>
      </c>
      <c r="AB42" s="5">
        <v>0</v>
      </c>
      <c r="AC42" s="5">
        <v>0</v>
      </c>
      <c r="AD42" s="43">
        <v>0</v>
      </c>
      <c r="AE42" s="15">
        <f t="shared" si="0"/>
        <v>0</v>
      </c>
      <c r="AF42" s="15">
        <f t="shared" si="1"/>
        <v>0</v>
      </c>
      <c r="AG42" s="15">
        <f t="shared" si="2"/>
        <v>0</v>
      </c>
    </row>
    <row r="43" spans="1:33" ht="15.75" thickBot="1" x14ac:dyDescent="0.3">
      <c r="R43" s="28" t="s">
        <v>201</v>
      </c>
      <c r="S43" s="18">
        <f>SUM(S44:S45)</f>
        <v>9</v>
      </c>
      <c r="T43" s="18">
        <f>SUM(T44:T45)</f>
        <v>0</v>
      </c>
      <c r="U43" s="43">
        <f t="shared" si="16"/>
        <v>-1</v>
      </c>
      <c r="V43" s="18">
        <f>SUM(V44:V45)</f>
        <v>1</v>
      </c>
      <c r="W43" s="18">
        <f>SUM(W44:W45)</f>
        <v>0</v>
      </c>
      <c r="X43" s="43">
        <f t="shared" si="17"/>
        <v>-1</v>
      </c>
      <c r="Y43" s="18">
        <f>SUM(Y44:Y45)</f>
        <v>250</v>
      </c>
      <c r="Z43" s="18">
        <f>SUM(Z44:Z45)</f>
        <v>0</v>
      </c>
      <c r="AA43" s="43">
        <f t="shared" si="14"/>
        <v>-1</v>
      </c>
      <c r="AB43" s="18">
        <f>SUM(AB44:AB45)</f>
        <v>6</v>
      </c>
      <c r="AC43" s="18">
        <f>SUM(AC44:AC45)</f>
        <v>0</v>
      </c>
      <c r="AD43" s="43">
        <f t="shared" si="18"/>
        <v>-1</v>
      </c>
      <c r="AE43" s="18">
        <f t="shared" si="0"/>
        <v>-9</v>
      </c>
      <c r="AF43" s="18">
        <f t="shared" si="1"/>
        <v>-1</v>
      </c>
      <c r="AG43" s="18">
        <f t="shared" si="2"/>
        <v>-6</v>
      </c>
    </row>
    <row r="44" spans="1:33" ht="26.25" thickBot="1" x14ac:dyDescent="0.3">
      <c r="R44" s="31" t="s">
        <v>203</v>
      </c>
      <c r="S44" s="5">
        <v>9</v>
      </c>
      <c r="T44" s="5">
        <v>0</v>
      </c>
      <c r="U44" s="43">
        <f t="shared" si="16"/>
        <v>-1</v>
      </c>
      <c r="V44" s="5">
        <v>1</v>
      </c>
      <c r="W44" s="5">
        <v>0</v>
      </c>
      <c r="X44" s="43">
        <f t="shared" si="17"/>
        <v>-1</v>
      </c>
      <c r="Y44" s="5">
        <v>250</v>
      </c>
      <c r="Z44" s="5">
        <v>0</v>
      </c>
      <c r="AA44" s="43">
        <f t="shared" si="14"/>
        <v>-1</v>
      </c>
      <c r="AB44" s="5">
        <v>6</v>
      </c>
      <c r="AC44" s="5">
        <v>0</v>
      </c>
      <c r="AD44" s="43">
        <f t="shared" si="18"/>
        <v>-1</v>
      </c>
      <c r="AE44" s="15">
        <f t="shared" si="0"/>
        <v>-9</v>
      </c>
      <c r="AF44" s="15">
        <f t="shared" si="1"/>
        <v>-1</v>
      </c>
      <c r="AG44" s="15">
        <f t="shared" si="2"/>
        <v>-6</v>
      </c>
    </row>
    <row r="45" spans="1:33" ht="15.75" thickBot="1" x14ac:dyDescent="0.3">
      <c r="R45" s="31" t="s">
        <v>202</v>
      </c>
      <c r="S45" s="5">
        <v>0</v>
      </c>
      <c r="T45" s="5">
        <v>0</v>
      </c>
      <c r="U45" s="43">
        <v>0</v>
      </c>
      <c r="V45" s="5">
        <v>0</v>
      </c>
      <c r="W45" s="5">
        <v>0</v>
      </c>
      <c r="X45" s="43">
        <v>0</v>
      </c>
      <c r="Y45" s="5">
        <v>0</v>
      </c>
      <c r="Z45" s="5">
        <v>0</v>
      </c>
      <c r="AA45" s="43">
        <v>0</v>
      </c>
      <c r="AB45" s="5">
        <v>0</v>
      </c>
      <c r="AC45" s="5">
        <v>0</v>
      </c>
      <c r="AD45" s="43">
        <v>0</v>
      </c>
      <c r="AE45" s="15">
        <f t="shared" si="0"/>
        <v>0</v>
      </c>
      <c r="AF45" s="15">
        <f t="shared" si="1"/>
        <v>0</v>
      </c>
      <c r="AG45" s="15">
        <f t="shared" si="2"/>
        <v>0</v>
      </c>
    </row>
    <row r="46" spans="1:33" ht="15.75" thickBot="1" x14ac:dyDescent="0.3">
      <c r="R46" s="28" t="s">
        <v>204</v>
      </c>
      <c r="S46" s="18">
        <f>SUM(S47:S50)</f>
        <v>0</v>
      </c>
      <c r="T46" s="18">
        <f>SUM(T47:T50)</f>
        <v>0</v>
      </c>
      <c r="U46" s="43">
        <v>0</v>
      </c>
      <c r="V46" s="18">
        <f>SUM(V47:V50)</f>
        <v>0</v>
      </c>
      <c r="W46" s="18">
        <f>SUM(W47:W50)</f>
        <v>0</v>
      </c>
      <c r="X46" s="43">
        <v>0</v>
      </c>
      <c r="Y46" s="18">
        <f>SUM(Y47:Y50)</f>
        <v>0</v>
      </c>
      <c r="Z46" s="18">
        <f>SUM(Z47:Z50)</f>
        <v>0</v>
      </c>
      <c r="AA46" s="43">
        <v>0</v>
      </c>
      <c r="AB46" s="18">
        <f>SUM(AB47:AB50)</f>
        <v>0</v>
      </c>
      <c r="AC46" s="18">
        <f>SUM(AC47:AC50)</f>
        <v>0</v>
      </c>
      <c r="AD46" s="43">
        <v>0</v>
      </c>
      <c r="AE46" s="18">
        <f t="shared" si="0"/>
        <v>0</v>
      </c>
      <c r="AF46" s="18">
        <f t="shared" si="1"/>
        <v>0</v>
      </c>
      <c r="AG46" s="18">
        <f t="shared" si="2"/>
        <v>0</v>
      </c>
    </row>
    <row r="47" spans="1:33" ht="26.25" thickBot="1" x14ac:dyDescent="0.3">
      <c r="R47" s="31" t="s">
        <v>205</v>
      </c>
      <c r="S47" s="5">
        <v>0</v>
      </c>
      <c r="T47" s="5">
        <v>0</v>
      </c>
      <c r="U47" s="43">
        <v>0</v>
      </c>
      <c r="V47" s="5">
        <v>0</v>
      </c>
      <c r="W47" s="5">
        <v>0</v>
      </c>
      <c r="X47" s="43">
        <v>0</v>
      </c>
      <c r="Y47" s="5">
        <v>0</v>
      </c>
      <c r="Z47" s="5">
        <v>0</v>
      </c>
      <c r="AA47" s="43">
        <v>0</v>
      </c>
      <c r="AB47" s="5">
        <v>0</v>
      </c>
      <c r="AC47" s="5">
        <v>0</v>
      </c>
      <c r="AD47" s="43">
        <v>0</v>
      </c>
      <c r="AE47" s="15">
        <f t="shared" si="0"/>
        <v>0</v>
      </c>
      <c r="AF47" s="15">
        <f t="shared" si="1"/>
        <v>0</v>
      </c>
      <c r="AG47" s="15">
        <f t="shared" si="2"/>
        <v>0</v>
      </c>
    </row>
    <row r="48" spans="1:33" ht="39" thickBot="1" x14ac:dyDescent="0.3">
      <c r="R48" s="31" t="s">
        <v>206</v>
      </c>
      <c r="S48" s="5">
        <v>0</v>
      </c>
      <c r="T48" s="5">
        <v>0</v>
      </c>
      <c r="U48" s="43">
        <v>0</v>
      </c>
      <c r="V48" s="5">
        <v>0</v>
      </c>
      <c r="W48" s="5">
        <v>0</v>
      </c>
      <c r="X48" s="43">
        <v>0</v>
      </c>
      <c r="Y48" s="5">
        <v>0</v>
      </c>
      <c r="Z48" s="5">
        <v>0</v>
      </c>
      <c r="AA48" s="43">
        <v>0</v>
      </c>
      <c r="AB48" s="5">
        <v>0</v>
      </c>
      <c r="AC48" s="5">
        <v>0</v>
      </c>
      <c r="AD48" s="43">
        <v>0</v>
      </c>
      <c r="AE48" s="15">
        <f t="shared" si="0"/>
        <v>0</v>
      </c>
      <c r="AF48" s="15">
        <f t="shared" si="1"/>
        <v>0</v>
      </c>
      <c r="AG48" s="15">
        <f t="shared" si="2"/>
        <v>0</v>
      </c>
    </row>
    <row r="49" spans="18:33" ht="15.75" thickBot="1" x14ac:dyDescent="0.3">
      <c r="R49" s="31" t="s">
        <v>207</v>
      </c>
      <c r="S49" s="5">
        <v>0</v>
      </c>
      <c r="T49" s="5">
        <v>0</v>
      </c>
      <c r="U49" s="43">
        <v>0</v>
      </c>
      <c r="V49" s="5">
        <v>0</v>
      </c>
      <c r="W49" s="5">
        <v>0</v>
      </c>
      <c r="X49" s="43">
        <v>0</v>
      </c>
      <c r="Y49" s="5">
        <v>0</v>
      </c>
      <c r="Z49" s="5">
        <v>0</v>
      </c>
      <c r="AA49" s="43">
        <v>0</v>
      </c>
      <c r="AB49" s="5">
        <v>0</v>
      </c>
      <c r="AC49" s="5">
        <v>0</v>
      </c>
      <c r="AD49" s="43">
        <v>0</v>
      </c>
      <c r="AE49" s="15">
        <f t="shared" si="0"/>
        <v>0</v>
      </c>
      <c r="AF49" s="15">
        <f t="shared" si="1"/>
        <v>0</v>
      </c>
      <c r="AG49" s="15">
        <f t="shared" si="2"/>
        <v>0</v>
      </c>
    </row>
    <row r="50" spans="18:33" ht="15.75" thickBot="1" x14ac:dyDescent="0.3">
      <c r="R50" s="31" t="s">
        <v>208</v>
      </c>
      <c r="S50" s="5">
        <v>0</v>
      </c>
      <c r="T50" s="5">
        <v>0</v>
      </c>
      <c r="U50" s="43">
        <v>0</v>
      </c>
      <c r="V50" s="5">
        <v>0</v>
      </c>
      <c r="W50" s="5">
        <v>0</v>
      </c>
      <c r="X50" s="43">
        <v>0</v>
      </c>
      <c r="Y50" s="5">
        <v>0</v>
      </c>
      <c r="Z50" s="5">
        <v>0</v>
      </c>
      <c r="AA50" s="43">
        <v>0</v>
      </c>
      <c r="AB50" s="5">
        <v>0</v>
      </c>
      <c r="AC50" s="5">
        <v>0</v>
      </c>
      <c r="AD50" s="43">
        <v>0</v>
      </c>
      <c r="AE50" s="15">
        <f t="shared" si="0"/>
        <v>0</v>
      </c>
      <c r="AF50" s="15">
        <f t="shared" si="1"/>
        <v>0</v>
      </c>
      <c r="AG50" s="15">
        <f t="shared" si="2"/>
        <v>0</v>
      </c>
    </row>
    <row r="51" spans="18:33" ht="15.75" thickBot="1" x14ac:dyDescent="0.3">
      <c r="R51" s="33" t="s">
        <v>13</v>
      </c>
      <c r="S51" s="33">
        <f>SUM(S5,S8,S13,S31,S36,S43,S46)</f>
        <v>57</v>
      </c>
      <c r="T51" s="33">
        <f>SUM(T5,T8,T13,T31,T36,T43,T46)</f>
        <v>0</v>
      </c>
      <c r="U51" s="43">
        <f>(T51-S51)/S51</f>
        <v>-1</v>
      </c>
      <c r="V51" s="33">
        <f>SUM(V5,V8,V31,V36,V43,V46)</f>
        <v>10</v>
      </c>
      <c r="W51" s="33">
        <f>SUM(W5,W8,W31,W36,W43,W46)</f>
        <v>0</v>
      </c>
      <c r="X51" s="43">
        <f>(W51-V51)/V51</f>
        <v>-1</v>
      </c>
      <c r="Y51" s="33">
        <f>SUM(Y5,Y8,Y31,Y36,Y43,Y46)</f>
        <v>56408</v>
      </c>
      <c r="Z51" s="33">
        <f>SUM(Z5,Z8,Z31,Z36,Z43,Z46)</f>
        <v>0</v>
      </c>
      <c r="AA51" s="43">
        <f>(Z51-Y51)/Y51</f>
        <v>-1</v>
      </c>
      <c r="AB51" s="33">
        <f>SUM(AB5,AB8,AB31,AB36,AB43,AB46)</f>
        <v>387</v>
      </c>
      <c r="AC51" s="33">
        <f>SUM(AC5,AC8,AC31,AC36,AC43,AC46)</f>
        <v>0</v>
      </c>
      <c r="AD51" s="43">
        <f>(AC51-AB51)/AB51</f>
        <v>-1</v>
      </c>
      <c r="AE51" s="33">
        <f t="shared" si="0"/>
        <v>-57</v>
      </c>
      <c r="AF51" s="33">
        <f t="shared" si="1"/>
        <v>-10</v>
      </c>
      <c r="AG51" s="33">
        <f t="shared" si="2"/>
        <v>-387</v>
      </c>
    </row>
  </sheetData>
  <mergeCells count="39">
    <mergeCell ref="X1:X3"/>
    <mergeCell ref="J1:J3"/>
    <mergeCell ref="K1:L2"/>
    <mergeCell ref="M1:M3"/>
    <mergeCell ref="N1:N3"/>
    <mergeCell ref="O1:O3"/>
    <mergeCell ref="P1:P3"/>
    <mergeCell ref="A4:P4"/>
    <mergeCell ref="R1:R3"/>
    <mergeCell ref="S1:T2"/>
    <mergeCell ref="U1:U3"/>
    <mergeCell ref="V1:W2"/>
    <mergeCell ref="A1:A3"/>
    <mergeCell ref="B1:C2"/>
    <mergeCell ref="D1:D3"/>
    <mergeCell ref="E1:F2"/>
    <mergeCell ref="G1:G3"/>
    <mergeCell ref="H1:I2"/>
    <mergeCell ref="R4:AG4"/>
    <mergeCell ref="AG1:AG3"/>
    <mergeCell ref="Y1:Z2"/>
    <mergeCell ref="AA1:AA3"/>
    <mergeCell ref="AB1:AC2"/>
    <mergeCell ref="AI4:AX4"/>
    <mergeCell ref="AI1:AI3"/>
    <mergeCell ref="AJ1:AK2"/>
    <mergeCell ref="AL1:AL3"/>
    <mergeCell ref="AM1:AN2"/>
    <mergeCell ref="AO1:AO3"/>
    <mergeCell ref="AP1:AQ2"/>
    <mergeCell ref="AR1:AR3"/>
    <mergeCell ref="AV1:AV3"/>
    <mergeCell ref="AW1:AW3"/>
    <mergeCell ref="AX1:AX3"/>
    <mergeCell ref="AD1:AD3"/>
    <mergeCell ref="AE1:AE3"/>
    <mergeCell ref="AF1:AF3"/>
    <mergeCell ref="AS1:AT2"/>
    <mergeCell ref="AU1:AU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zoomScale="70" zoomScaleNormal="70" workbookViewId="0">
      <selection activeCell="B13" sqref="B13"/>
    </sheetView>
  </sheetViews>
  <sheetFormatPr defaultRowHeight="15" x14ac:dyDescent="0.25"/>
  <cols>
    <col min="2" max="2" width="40.85546875" customWidth="1"/>
    <col min="8" max="8" width="8.85546875" customWidth="1"/>
    <col min="12" max="12" width="21.5703125" customWidth="1"/>
  </cols>
  <sheetData>
    <row r="3" spans="2:4" x14ac:dyDescent="0.25">
      <c r="B3" s="183" t="s">
        <v>371</v>
      </c>
      <c r="C3" s="187" t="s">
        <v>227</v>
      </c>
      <c r="D3" s="187" t="s">
        <v>599</v>
      </c>
    </row>
    <row r="4" spans="2:4" ht="27.75" customHeight="1" x14ac:dyDescent="0.25">
      <c r="B4" s="106" t="s">
        <v>369</v>
      </c>
      <c r="C4" s="87"/>
      <c r="D4" s="87"/>
    </row>
    <row r="5" spans="2:4" ht="64.5" customHeight="1" x14ac:dyDescent="0.25">
      <c r="B5" s="106" t="s">
        <v>368</v>
      </c>
      <c r="C5" s="87"/>
      <c r="D5" s="87"/>
    </row>
    <row r="6" spans="2:4" ht="40.9" customHeight="1" x14ac:dyDescent="0.25">
      <c r="B6" s="106" t="s">
        <v>367</v>
      </c>
      <c r="C6" s="87"/>
      <c r="D6" s="87"/>
    </row>
    <row r="7" spans="2:4" ht="40.9" customHeight="1" x14ac:dyDescent="0.25">
      <c r="B7" s="106" t="s">
        <v>366</v>
      </c>
      <c r="C7" s="87"/>
      <c r="D7" s="87"/>
    </row>
    <row r="8" spans="2:4" ht="22.15" customHeight="1" x14ac:dyDescent="0.25">
      <c r="B8" s="106" t="s">
        <v>647</v>
      </c>
      <c r="C8" s="87"/>
      <c r="D8" s="87"/>
    </row>
    <row r="9" spans="2:4" ht="24" customHeight="1" x14ac:dyDescent="0.25">
      <c r="B9" s="106" t="s">
        <v>365</v>
      </c>
      <c r="C9" s="87"/>
      <c r="D9" s="87"/>
    </row>
    <row r="10" spans="2:4" x14ac:dyDescent="0.25">
      <c r="B10" s="106" t="s">
        <v>364</v>
      </c>
      <c r="C10" s="87"/>
      <c r="D10" s="87"/>
    </row>
    <row r="11" spans="2:4" ht="25.5" x14ac:dyDescent="0.25">
      <c r="B11" s="106" t="s">
        <v>363</v>
      </c>
      <c r="C11" s="87"/>
      <c r="D11" s="87"/>
    </row>
    <row r="12" spans="2:4" ht="25.5" x14ac:dyDescent="0.25">
      <c r="B12" s="106" t="s">
        <v>602</v>
      </c>
      <c r="C12" s="87"/>
      <c r="D12" s="87"/>
    </row>
    <row r="13" spans="2:4" ht="21" customHeight="1" x14ac:dyDescent="0.25">
      <c r="B13" s="106" t="s">
        <v>362</v>
      </c>
      <c r="C13" s="87"/>
      <c r="D13" s="8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opLeftCell="A4" workbookViewId="0">
      <selection activeCell="B16" sqref="B16"/>
    </sheetView>
  </sheetViews>
  <sheetFormatPr defaultRowHeight="15" x14ac:dyDescent="0.25"/>
  <cols>
    <col min="2" max="2" width="22.7109375" customWidth="1"/>
    <col min="14" max="14" width="13" customWidth="1"/>
    <col min="15" max="16" width="11.42578125" customWidth="1"/>
  </cols>
  <sheetData>
    <row r="2" spans="2:5" ht="25.5" x14ac:dyDescent="0.25">
      <c r="B2" s="200" t="s">
        <v>382</v>
      </c>
      <c r="C2" s="197" t="s">
        <v>227</v>
      </c>
      <c r="D2" s="197" t="s">
        <v>575</v>
      </c>
    </row>
    <row r="3" spans="2:5" x14ac:dyDescent="0.25">
      <c r="B3" s="88"/>
      <c r="C3" s="87"/>
      <c r="D3" s="87"/>
    </row>
    <row r="12" spans="2:5" ht="25.5" x14ac:dyDescent="0.25">
      <c r="B12" s="200" t="s">
        <v>381</v>
      </c>
      <c r="C12" s="197" t="s">
        <v>227</v>
      </c>
      <c r="D12" s="197" t="s">
        <v>575</v>
      </c>
      <c r="E12" s="13"/>
    </row>
    <row r="13" spans="2:5" x14ac:dyDescent="0.25">
      <c r="B13" s="104" t="s">
        <v>380</v>
      </c>
      <c r="C13" s="87"/>
      <c r="D13" s="87"/>
      <c r="E13" s="13"/>
    </row>
    <row r="14" spans="2:5" x14ac:dyDescent="0.25">
      <c r="B14" s="88" t="s">
        <v>379</v>
      </c>
      <c r="C14" s="87"/>
      <c r="D14" s="87"/>
      <c r="E14" s="13"/>
    </row>
    <row r="15" spans="2:5" x14ac:dyDescent="0.25">
      <c r="B15" s="88" t="s">
        <v>378</v>
      </c>
      <c r="C15" s="87"/>
      <c r="D15" s="87"/>
      <c r="E15" s="13"/>
    </row>
    <row r="16" spans="2:5" x14ac:dyDescent="0.25">
      <c r="B16" s="88" t="s">
        <v>377</v>
      </c>
      <c r="C16" s="87"/>
      <c r="D16" s="87"/>
      <c r="E16" s="13"/>
    </row>
    <row r="17" spans="2:5" x14ac:dyDescent="0.25">
      <c r="B17" s="13"/>
      <c r="C17" s="13"/>
      <c r="D17" s="13"/>
      <c r="E17" s="13"/>
    </row>
    <row r="18" spans="2:5" x14ac:dyDescent="0.25">
      <c r="B18" s="13"/>
      <c r="C18" s="13"/>
      <c r="D18" s="13"/>
      <c r="E18" s="13"/>
    </row>
    <row r="19" spans="2:5" ht="38.25" x14ac:dyDescent="0.25">
      <c r="B19" s="200" t="s">
        <v>603</v>
      </c>
      <c r="C19" s="197" t="s">
        <v>227</v>
      </c>
      <c r="D19" s="197" t="s">
        <v>575</v>
      </c>
      <c r="E19" s="13"/>
    </row>
    <row r="20" spans="2:5" x14ac:dyDescent="0.25">
      <c r="B20" s="301" t="s">
        <v>376</v>
      </c>
      <c r="C20" s="302"/>
      <c r="D20" s="303"/>
      <c r="E20" s="13"/>
    </row>
    <row r="21" spans="2:5" x14ac:dyDescent="0.25">
      <c r="B21" s="88" t="s">
        <v>374</v>
      </c>
      <c r="C21" s="87"/>
      <c r="D21" s="87"/>
      <c r="E21" s="13"/>
    </row>
    <row r="22" spans="2:5" x14ac:dyDescent="0.25">
      <c r="B22" s="88" t="s">
        <v>373</v>
      </c>
      <c r="C22" s="87"/>
      <c r="D22" s="87"/>
      <c r="E22" s="13"/>
    </row>
    <row r="23" spans="2:5" x14ac:dyDescent="0.25">
      <c r="B23" s="301" t="s">
        <v>375</v>
      </c>
      <c r="C23" s="302"/>
      <c r="D23" s="303"/>
      <c r="E23" s="13"/>
    </row>
    <row r="24" spans="2:5" x14ac:dyDescent="0.25">
      <c r="B24" s="88" t="s">
        <v>374</v>
      </c>
      <c r="C24" s="87"/>
      <c r="D24" s="87"/>
      <c r="E24" s="13"/>
    </row>
    <row r="25" spans="2:5" x14ac:dyDescent="0.25">
      <c r="B25" s="88" t="s">
        <v>373</v>
      </c>
      <c r="C25" s="87"/>
      <c r="D25" s="87"/>
      <c r="E25" s="13"/>
    </row>
    <row r="26" spans="2:5" x14ac:dyDescent="0.25">
      <c r="B26" s="13"/>
      <c r="C26" s="13"/>
      <c r="D26" s="13"/>
      <c r="E26" s="13"/>
    </row>
    <row r="27" spans="2:5" x14ac:dyDescent="0.25">
      <c r="B27" s="305"/>
      <c r="C27" s="306"/>
      <c r="D27" s="197" t="s">
        <v>227</v>
      </c>
      <c r="E27" s="197" t="s">
        <v>575</v>
      </c>
    </row>
    <row r="28" spans="2:5" s="82" customFormat="1" ht="55.9" customHeight="1" x14ac:dyDescent="0.25">
      <c r="B28" s="304" t="s">
        <v>372</v>
      </c>
      <c r="C28" s="304"/>
      <c r="D28" s="83">
        <v>130</v>
      </c>
      <c r="E28" s="83"/>
    </row>
    <row r="29" spans="2:5" ht="30.6" customHeight="1" x14ac:dyDescent="0.25">
      <c r="B29" s="304" t="s">
        <v>627</v>
      </c>
      <c r="C29" s="304"/>
      <c r="D29" s="81">
        <v>131</v>
      </c>
      <c r="E29" s="81"/>
    </row>
    <row r="30" spans="2:5" ht="28.9" customHeight="1" x14ac:dyDescent="0.25">
      <c r="B30" s="304" t="s">
        <v>604</v>
      </c>
      <c r="C30" s="304"/>
      <c r="D30" s="81">
        <v>119</v>
      </c>
      <c r="E30" s="81"/>
    </row>
  </sheetData>
  <mergeCells count="6">
    <mergeCell ref="B23:D23"/>
    <mergeCell ref="B20:D20"/>
    <mergeCell ref="B28:C28"/>
    <mergeCell ref="B29:C29"/>
    <mergeCell ref="B30:C30"/>
    <mergeCell ref="B27:C2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42"/>
  <sheetViews>
    <sheetView topLeftCell="A16" zoomScale="70" zoomScaleNormal="70" workbookViewId="0">
      <selection activeCell="B30" sqref="B30"/>
    </sheetView>
  </sheetViews>
  <sheetFormatPr defaultRowHeight="15" x14ac:dyDescent="0.25"/>
  <cols>
    <col min="2" max="2" width="22.28515625" customWidth="1"/>
    <col min="7" max="7" width="20.140625" customWidth="1"/>
    <col min="14" max="14" width="17.85546875" customWidth="1"/>
    <col min="19" max="19" width="20.5703125" customWidth="1"/>
    <col min="21" max="21" width="18.42578125" customWidth="1"/>
    <col min="26" max="26" width="25.140625" customWidth="1"/>
    <col min="28" max="28" width="18.42578125" customWidth="1"/>
  </cols>
  <sheetData>
    <row r="4" spans="2:5" ht="25.5" x14ac:dyDescent="0.25">
      <c r="B4" s="200" t="s">
        <v>390</v>
      </c>
      <c r="C4" s="197" t="s">
        <v>227</v>
      </c>
      <c r="D4" s="197" t="s">
        <v>575</v>
      </c>
      <c r="E4" s="13"/>
    </row>
    <row r="5" spans="2:5" x14ac:dyDescent="0.25">
      <c r="B5" s="112" t="s">
        <v>389</v>
      </c>
      <c r="C5" s="111"/>
      <c r="D5" s="87"/>
      <c r="E5" s="13"/>
    </row>
    <row r="6" spans="2:5" x14ac:dyDescent="0.25">
      <c r="B6" s="13"/>
      <c r="C6" s="13"/>
      <c r="D6" s="13"/>
      <c r="E6" s="13"/>
    </row>
    <row r="7" spans="2:5" x14ac:dyDescent="0.25">
      <c r="B7" s="13"/>
      <c r="C7" s="13"/>
      <c r="D7" s="13"/>
      <c r="E7" s="13"/>
    </row>
    <row r="8" spans="2:5" x14ac:dyDescent="0.25">
      <c r="B8" s="13"/>
      <c r="C8" s="13"/>
      <c r="D8" s="13"/>
      <c r="E8" s="13"/>
    </row>
    <row r="9" spans="2:5" x14ac:dyDescent="0.25">
      <c r="B9" s="13"/>
      <c r="C9" s="13"/>
      <c r="D9" s="13"/>
      <c r="E9" s="13"/>
    </row>
    <row r="10" spans="2:5" x14ac:dyDescent="0.25">
      <c r="B10" s="13"/>
      <c r="C10" s="13"/>
      <c r="D10" s="13"/>
      <c r="E10" s="13"/>
    </row>
    <row r="11" spans="2:5" x14ac:dyDescent="0.25">
      <c r="B11" s="13"/>
      <c r="C11" s="13"/>
      <c r="D11" s="13"/>
      <c r="E11" s="13"/>
    </row>
    <row r="12" spans="2:5" x14ac:dyDescent="0.25">
      <c r="B12" s="13"/>
      <c r="C12" s="13"/>
      <c r="D12" s="13"/>
      <c r="E12" s="13"/>
    </row>
    <row r="13" spans="2:5" x14ac:dyDescent="0.25">
      <c r="B13" s="13"/>
      <c r="C13" s="13"/>
      <c r="D13" s="13"/>
      <c r="E13" s="13"/>
    </row>
    <row r="14" spans="2:5" x14ac:dyDescent="0.25">
      <c r="B14" s="13"/>
      <c r="C14" s="13"/>
      <c r="D14" s="13"/>
      <c r="E14" s="13"/>
    </row>
    <row r="15" spans="2:5" x14ac:dyDescent="0.25">
      <c r="B15" s="13"/>
      <c r="C15" s="13"/>
      <c r="D15" s="13"/>
      <c r="E15" s="13"/>
    </row>
    <row r="16" spans="2:5" ht="52.9" customHeight="1" x14ac:dyDescent="0.25">
      <c r="B16" s="307" t="s">
        <v>388</v>
      </c>
      <c r="C16" s="308"/>
      <c r="D16" s="197" t="s">
        <v>227</v>
      </c>
      <c r="E16" s="197" t="s">
        <v>575</v>
      </c>
    </row>
    <row r="17" spans="2:15" ht="73.900000000000006" customHeight="1" x14ac:dyDescent="0.25">
      <c r="B17" s="304" t="s">
        <v>606</v>
      </c>
      <c r="C17" s="304"/>
      <c r="D17" s="87"/>
      <c r="E17" s="87"/>
    </row>
    <row r="18" spans="2:15" ht="73.900000000000006" customHeight="1" x14ac:dyDescent="0.25">
      <c r="B18" s="304" t="s">
        <v>387</v>
      </c>
      <c r="C18" s="304"/>
      <c r="D18" s="87"/>
      <c r="E18" s="87"/>
    </row>
    <row r="19" spans="2:15" ht="73.900000000000006" customHeight="1" x14ac:dyDescent="0.25">
      <c r="B19" s="304" t="s">
        <v>386</v>
      </c>
      <c r="C19" s="304"/>
      <c r="D19" s="87"/>
      <c r="E19" s="87"/>
    </row>
    <row r="20" spans="2:15" x14ac:dyDescent="0.25">
      <c r="B20" s="13"/>
      <c r="C20" s="13"/>
      <c r="D20" s="13"/>
      <c r="E20" s="13"/>
    </row>
    <row r="21" spans="2:15" x14ac:dyDescent="0.25">
      <c r="B21" s="13"/>
      <c r="C21" s="13"/>
      <c r="D21" s="13"/>
      <c r="E21" s="13"/>
    </row>
    <row r="22" spans="2:15" ht="26.45" customHeight="1" x14ac:dyDescent="0.25">
      <c r="B22" s="309" t="s">
        <v>605</v>
      </c>
      <c r="C22" s="197" t="s">
        <v>227</v>
      </c>
      <c r="D22" s="197" t="s">
        <v>575</v>
      </c>
      <c r="E22" s="13"/>
    </row>
    <row r="23" spans="2:15" ht="27" customHeight="1" x14ac:dyDescent="0.25">
      <c r="B23" s="310"/>
      <c r="C23" s="87"/>
      <c r="D23" s="87"/>
      <c r="E23" s="13"/>
    </row>
    <row r="24" spans="2:15" ht="60" customHeight="1" x14ac:dyDescent="0.25">
      <c r="B24" s="13"/>
      <c r="C24" s="13"/>
      <c r="D24" s="13"/>
      <c r="E24" s="13"/>
    </row>
    <row r="25" spans="2:15" x14ac:dyDescent="0.25">
      <c r="B25" s="13"/>
      <c r="C25" s="13"/>
      <c r="D25" s="13"/>
      <c r="E25" s="13"/>
    </row>
    <row r="26" spans="2:15" x14ac:dyDescent="0.25">
      <c r="B26" s="13"/>
      <c r="C26" s="13"/>
      <c r="D26" s="13"/>
      <c r="E26" s="13"/>
    </row>
    <row r="27" spans="2:15" x14ac:dyDescent="0.25">
      <c r="B27" s="13"/>
      <c r="C27" s="13"/>
      <c r="D27" s="13"/>
      <c r="E27" s="13"/>
    </row>
    <row r="28" spans="2:15" ht="25.5" x14ac:dyDescent="0.25">
      <c r="B28" s="200" t="s">
        <v>385</v>
      </c>
      <c r="C28" s="197" t="s">
        <v>227</v>
      </c>
      <c r="D28" s="197" t="s">
        <v>575</v>
      </c>
      <c r="E28" s="13"/>
      <c r="N28" s="110"/>
      <c r="O28" s="110"/>
    </row>
    <row r="29" spans="2:15" x14ac:dyDescent="0.25">
      <c r="B29" s="88" t="s">
        <v>384</v>
      </c>
      <c r="C29" s="87"/>
      <c r="D29" s="87"/>
      <c r="E29" s="13"/>
    </row>
    <row r="30" spans="2:15" x14ac:dyDescent="0.25">
      <c r="B30" s="88" t="s">
        <v>628</v>
      </c>
      <c r="C30" s="87"/>
      <c r="D30" s="87"/>
      <c r="E30" s="13"/>
    </row>
    <row r="31" spans="2:15" x14ac:dyDescent="0.25">
      <c r="B31" s="13"/>
      <c r="C31" s="13"/>
      <c r="D31" s="13"/>
      <c r="E31" s="13"/>
    </row>
    <row r="32" spans="2:15" x14ac:dyDescent="0.25">
      <c r="B32" s="13"/>
      <c r="C32" s="13"/>
      <c r="D32" s="13"/>
      <c r="E32" s="13"/>
    </row>
    <row r="33" spans="2:5" x14ac:dyDescent="0.25">
      <c r="B33" s="13"/>
      <c r="C33" s="13"/>
      <c r="D33" s="13"/>
      <c r="E33" s="13"/>
    </row>
    <row r="34" spans="2:5" x14ac:dyDescent="0.25">
      <c r="B34" s="13"/>
      <c r="C34" s="13"/>
      <c r="D34" s="13"/>
      <c r="E34" s="13"/>
    </row>
    <row r="35" spans="2:5" x14ac:dyDescent="0.25">
      <c r="B35" s="13"/>
      <c r="C35" s="13"/>
      <c r="D35" s="13"/>
      <c r="E35" s="13"/>
    </row>
    <row r="36" spans="2:5" x14ac:dyDescent="0.25">
      <c r="B36" s="13"/>
      <c r="C36" s="13"/>
      <c r="D36" s="13"/>
      <c r="E36" s="13"/>
    </row>
    <row r="37" spans="2:5" x14ac:dyDescent="0.25">
      <c r="B37" s="13"/>
      <c r="C37" s="13"/>
      <c r="D37" s="13"/>
      <c r="E37" s="13"/>
    </row>
    <row r="38" spans="2:5" x14ac:dyDescent="0.25">
      <c r="B38" s="13"/>
      <c r="C38" s="13"/>
      <c r="D38" s="13"/>
      <c r="E38" s="13"/>
    </row>
    <row r="39" spans="2:5" x14ac:dyDescent="0.25">
      <c r="B39" s="13"/>
      <c r="C39" s="13"/>
      <c r="D39" s="13"/>
      <c r="E39" s="13"/>
    </row>
    <row r="40" spans="2:5" x14ac:dyDescent="0.25">
      <c r="B40" s="13"/>
      <c r="C40" s="13"/>
      <c r="D40" s="13"/>
      <c r="E40" s="13"/>
    </row>
    <row r="41" spans="2:5" ht="25.5" x14ac:dyDescent="0.25">
      <c r="B41" s="200" t="s">
        <v>383</v>
      </c>
      <c r="C41" s="197" t="s">
        <v>227</v>
      </c>
      <c r="D41" s="197" t="s">
        <v>575</v>
      </c>
      <c r="E41" s="13"/>
    </row>
    <row r="42" spans="2:5" x14ac:dyDescent="0.25">
      <c r="B42" s="88"/>
      <c r="C42" s="87"/>
      <c r="D42" s="87"/>
      <c r="E42" s="13"/>
    </row>
  </sheetData>
  <mergeCells count="5">
    <mergeCell ref="B16:C16"/>
    <mergeCell ref="B17:C17"/>
    <mergeCell ref="B18:C18"/>
    <mergeCell ref="B19:C19"/>
    <mergeCell ref="B22:B2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topLeftCell="A4" zoomScale="145" zoomScaleNormal="145" workbookViewId="0">
      <selection activeCell="I10" sqref="I10"/>
    </sheetView>
  </sheetViews>
  <sheetFormatPr defaultRowHeight="15" x14ac:dyDescent="0.25"/>
  <cols>
    <col min="2" max="2" width="35.42578125" customWidth="1"/>
    <col min="13" max="13" width="8.42578125" customWidth="1"/>
  </cols>
  <sheetData>
    <row r="3" spans="2:4" ht="26.25" x14ac:dyDescent="0.25">
      <c r="B3" s="202" t="s">
        <v>395</v>
      </c>
      <c r="C3" s="197" t="s">
        <v>227</v>
      </c>
      <c r="D3" s="197" t="s">
        <v>575</v>
      </c>
    </row>
    <row r="4" spans="2:4" ht="26.25" x14ac:dyDescent="0.25">
      <c r="B4" s="104" t="s">
        <v>394</v>
      </c>
      <c r="C4" s="87"/>
      <c r="D4" s="87"/>
    </row>
    <row r="5" spans="2:4" ht="51.75" x14ac:dyDescent="0.25">
      <c r="B5" s="104" t="s">
        <v>393</v>
      </c>
      <c r="C5" s="87"/>
      <c r="D5" s="87"/>
    </row>
    <row r="6" spans="2:4" ht="39" x14ac:dyDescent="0.25">
      <c r="B6" s="104" t="s">
        <v>392</v>
      </c>
      <c r="C6" s="87"/>
      <c r="D6" s="87"/>
    </row>
    <row r="7" spans="2:4" ht="39" x14ac:dyDescent="0.25">
      <c r="B7" s="104" t="s">
        <v>391</v>
      </c>
      <c r="C7" s="87"/>
      <c r="D7" s="87"/>
    </row>
    <row r="8" spans="2:4" ht="26.25" x14ac:dyDescent="0.25">
      <c r="B8" s="104" t="s">
        <v>626</v>
      </c>
      <c r="C8" s="87"/>
      <c r="D8" s="8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2"/>
  <sheetViews>
    <sheetView topLeftCell="A52" zoomScale="145" zoomScaleNormal="145" workbookViewId="0">
      <selection activeCell="F11" sqref="F11"/>
    </sheetView>
  </sheetViews>
  <sheetFormatPr defaultRowHeight="15" x14ac:dyDescent="0.25"/>
  <cols>
    <col min="1" max="1" width="8.85546875" style="13"/>
    <col min="2" max="2" width="33.85546875" style="13" customWidth="1"/>
    <col min="3" max="4" width="8.85546875" style="13"/>
    <col min="5" max="5" width="15.28515625" style="13" customWidth="1"/>
    <col min="6" max="6" width="30" style="13" customWidth="1"/>
    <col min="7" max="7" width="8.85546875" style="13"/>
    <col min="8" max="8" width="35.7109375" style="13" customWidth="1"/>
    <col min="9" max="9" width="8.85546875" style="13"/>
    <col min="10" max="10" width="8.85546875" style="13" customWidth="1"/>
    <col min="11" max="11" width="8.85546875" style="13"/>
    <col min="12" max="12" width="35.42578125" style="13" customWidth="1"/>
    <col min="13" max="13" width="8.85546875" style="13"/>
    <col min="14" max="14" width="30" style="13" customWidth="1"/>
    <col min="15" max="25" width="9.140625" style="13"/>
  </cols>
  <sheetData>
    <row r="2" spans="2:10" ht="42" customHeight="1" x14ac:dyDescent="0.25">
      <c r="B2" s="200" t="s">
        <v>504</v>
      </c>
      <c r="C2" s="200" t="s">
        <v>227</v>
      </c>
      <c r="D2" s="200" t="s">
        <v>575</v>
      </c>
      <c r="H2" s="210" t="s">
        <v>505</v>
      </c>
      <c r="I2" s="200" t="s">
        <v>227</v>
      </c>
      <c r="J2" s="200" t="s">
        <v>575</v>
      </c>
    </row>
    <row r="3" spans="2:10" x14ac:dyDescent="0.25">
      <c r="B3" s="88"/>
      <c r="C3" s="87"/>
      <c r="D3" s="87"/>
      <c r="H3" s="88"/>
      <c r="I3" s="87"/>
      <c r="J3" s="87"/>
    </row>
    <row r="16" spans="2:10" ht="38.25" x14ac:dyDescent="0.25">
      <c r="B16" s="200" t="s">
        <v>506</v>
      </c>
      <c r="C16" s="200" t="s">
        <v>227</v>
      </c>
      <c r="D16" s="200" t="s">
        <v>575</v>
      </c>
      <c r="H16" s="210" t="s">
        <v>507</v>
      </c>
      <c r="I16" s="200" t="s">
        <v>227</v>
      </c>
      <c r="J16" s="200" t="s">
        <v>575</v>
      </c>
    </row>
    <row r="17" spans="2:10" x14ac:dyDescent="0.25">
      <c r="B17" s="88"/>
      <c r="C17" s="87"/>
      <c r="D17" s="87"/>
      <c r="H17" s="88"/>
      <c r="I17" s="87"/>
      <c r="J17" s="87"/>
    </row>
    <row r="29" spans="2:10" ht="35.25" customHeight="1" x14ac:dyDescent="0.25">
      <c r="B29" s="200" t="s">
        <v>508</v>
      </c>
      <c r="C29" s="200" t="s">
        <v>227</v>
      </c>
      <c r="D29" s="200" t="s">
        <v>575</v>
      </c>
      <c r="H29" s="210" t="s">
        <v>509</v>
      </c>
      <c r="I29" s="200" t="s">
        <v>227</v>
      </c>
      <c r="J29" s="200" t="s">
        <v>575</v>
      </c>
    </row>
    <row r="30" spans="2:10" x14ac:dyDescent="0.25">
      <c r="B30" s="149" t="s">
        <v>510</v>
      </c>
      <c r="C30" s="87"/>
      <c r="D30" s="87"/>
      <c r="H30" s="150" t="s">
        <v>511</v>
      </c>
      <c r="I30" s="87"/>
      <c r="J30" s="87"/>
    </row>
    <row r="31" spans="2:10" x14ac:dyDescent="0.25">
      <c r="B31" s="149" t="s">
        <v>512</v>
      </c>
      <c r="C31" s="87"/>
      <c r="D31" s="87"/>
    </row>
    <row r="32" spans="2:10" x14ac:dyDescent="0.25">
      <c r="B32" s="203" t="s">
        <v>2</v>
      </c>
      <c r="C32" s="203"/>
      <c r="D32" s="203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topLeftCell="H28" zoomScale="90" zoomScaleNormal="90" workbookViewId="0">
      <selection activeCell="I49" sqref="I49"/>
    </sheetView>
  </sheetViews>
  <sheetFormatPr defaultRowHeight="15" x14ac:dyDescent="0.25"/>
  <cols>
    <col min="3" max="3" width="23.140625" bestFit="1" customWidth="1"/>
    <col min="6" max="6" width="15.28515625" bestFit="1" customWidth="1"/>
    <col min="7" max="7" width="9.140625" customWidth="1"/>
    <col min="9" max="9" width="21.5703125" customWidth="1"/>
    <col min="12" max="12" width="22" bestFit="1" customWidth="1"/>
    <col min="24" max="24" width="18.5703125" customWidth="1"/>
    <col min="25" max="28" width="14.42578125" customWidth="1"/>
    <col min="32" max="32" width="72.7109375" customWidth="1"/>
  </cols>
  <sheetData>
    <row r="1" spans="1:4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90" x14ac:dyDescent="0.25">
      <c r="A2" s="13"/>
      <c r="B2" s="13"/>
      <c r="C2" s="151" t="s">
        <v>513</v>
      </c>
      <c r="D2" s="151"/>
      <c r="E2" s="151"/>
      <c r="F2" s="151"/>
      <c r="G2" s="151"/>
      <c r="H2" s="151"/>
      <c r="I2" s="151" t="s">
        <v>514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pans="1:45" x14ac:dyDescent="0.25">
      <c r="A3" s="13"/>
      <c r="B3" s="13"/>
      <c r="C3" s="151"/>
      <c r="D3" s="151"/>
      <c r="E3" s="151"/>
      <c r="F3" s="151"/>
      <c r="G3" s="151"/>
      <c r="H3" s="151"/>
      <c r="I3" s="151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1:45" ht="15.75" thickBot="1" x14ac:dyDescent="0.3">
      <c r="A5" s="13"/>
      <c r="B5" s="13"/>
      <c r="C5" s="13"/>
      <c r="D5" s="151"/>
      <c r="E5" s="151"/>
      <c r="F5" s="15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45" ht="26.25" thickBot="1" x14ac:dyDescent="0.3">
      <c r="A6" s="13"/>
      <c r="B6" s="13"/>
      <c r="C6" s="200" t="s">
        <v>515</v>
      </c>
      <c r="D6" s="200" t="s">
        <v>227</v>
      </c>
      <c r="E6" s="200" t="s">
        <v>575</v>
      </c>
      <c r="H6" s="13"/>
      <c r="I6" s="200" t="s">
        <v>515</v>
      </c>
      <c r="J6" s="200" t="s">
        <v>227</v>
      </c>
      <c r="K6" s="200" t="s">
        <v>575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311" t="s">
        <v>247</v>
      </c>
      <c r="Y6" s="220" t="s">
        <v>516</v>
      </c>
      <c r="Z6" s="222"/>
      <c r="AA6" s="220" t="s">
        <v>607</v>
      </c>
      <c r="AB6" s="222"/>
      <c r="AC6" s="13"/>
      <c r="AD6" s="13"/>
      <c r="AE6" s="13"/>
      <c r="AF6" s="36" t="s">
        <v>517</v>
      </c>
      <c r="AG6" s="36">
        <v>2012</v>
      </c>
      <c r="AH6" s="36">
        <v>2013</v>
      </c>
      <c r="AI6" s="36">
        <v>2014</v>
      </c>
      <c r="AJ6" s="36">
        <v>2015</v>
      </c>
      <c r="AK6" s="36">
        <v>2016</v>
      </c>
      <c r="AL6" s="36">
        <v>2017</v>
      </c>
      <c r="AM6" s="36">
        <v>2018</v>
      </c>
      <c r="AN6" s="36">
        <v>2019</v>
      </c>
      <c r="AO6" s="36">
        <v>2020</v>
      </c>
      <c r="AP6" s="36">
        <v>2021</v>
      </c>
      <c r="AQ6" s="36">
        <v>2022</v>
      </c>
      <c r="AR6" s="36">
        <v>2023</v>
      </c>
      <c r="AS6" s="199">
        <v>2024</v>
      </c>
    </row>
    <row r="7" spans="1:45" ht="26.25" thickBot="1" x14ac:dyDescent="0.3">
      <c r="A7" s="13"/>
      <c r="B7" s="13"/>
      <c r="C7" s="88"/>
      <c r="D7" s="87"/>
      <c r="E7" s="87"/>
      <c r="H7" s="13"/>
      <c r="I7" s="88"/>
      <c r="J7" s="87"/>
      <c r="K7" s="87"/>
      <c r="N7" s="13"/>
      <c r="O7" s="13"/>
      <c r="P7" s="13"/>
      <c r="Q7" s="13"/>
      <c r="R7" s="13"/>
      <c r="S7" s="13"/>
      <c r="T7" s="13"/>
      <c r="U7" s="13"/>
      <c r="V7" s="13"/>
      <c r="W7" s="13"/>
      <c r="X7" s="311"/>
      <c r="Y7" s="36" t="s">
        <v>518</v>
      </c>
      <c r="Z7" s="36" t="s">
        <v>519</v>
      </c>
      <c r="AA7" s="36" t="s">
        <v>518</v>
      </c>
      <c r="AB7" s="36" t="s">
        <v>519</v>
      </c>
      <c r="AC7" s="13"/>
      <c r="AD7" s="13"/>
      <c r="AE7" s="13"/>
      <c r="AF7" s="152" t="s">
        <v>520</v>
      </c>
      <c r="AG7" s="15">
        <v>189</v>
      </c>
      <c r="AH7" s="15">
        <v>171</v>
      </c>
      <c r="AI7" s="15">
        <v>86</v>
      </c>
      <c r="AJ7" s="15">
        <v>98</v>
      </c>
      <c r="AK7" s="15">
        <v>133</v>
      </c>
      <c r="AL7" s="15">
        <v>125</v>
      </c>
      <c r="AM7" s="15">
        <v>42</v>
      </c>
      <c r="AN7" s="15">
        <v>66</v>
      </c>
      <c r="AO7" s="15">
        <v>43</v>
      </c>
      <c r="AP7" s="15">
        <v>27</v>
      </c>
      <c r="AQ7" s="15">
        <v>22</v>
      </c>
      <c r="AR7" s="15">
        <v>13</v>
      </c>
      <c r="AS7" s="153"/>
    </row>
    <row r="8" spans="1:45" ht="26.25" thickBo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52" t="s">
        <v>113</v>
      </c>
      <c r="Y8" s="15"/>
      <c r="Z8" s="15"/>
      <c r="AA8" s="15"/>
      <c r="AB8" s="15"/>
      <c r="AC8" s="13"/>
      <c r="AD8" s="13"/>
      <c r="AE8" s="13"/>
      <c r="AF8" s="152" t="s">
        <v>521</v>
      </c>
      <c r="AG8" s="15">
        <v>4923</v>
      </c>
      <c r="AH8" s="15">
        <v>5874</v>
      </c>
      <c r="AI8" s="15">
        <v>5633</v>
      </c>
      <c r="AJ8" s="15">
        <v>6153</v>
      </c>
      <c r="AK8" s="15">
        <v>5520</v>
      </c>
      <c r="AL8" s="15">
        <v>4767</v>
      </c>
      <c r="AM8" s="15">
        <v>4174</v>
      </c>
      <c r="AN8" s="15">
        <v>4412</v>
      </c>
      <c r="AO8" s="15">
        <v>4248</v>
      </c>
      <c r="AP8" s="15">
        <v>2701</v>
      </c>
      <c r="AQ8" s="15">
        <v>2957</v>
      </c>
      <c r="AR8" s="15">
        <v>3090</v>
      </c>
      <c r="AS8" s="153"/>
    </row>
    <row r="9" spans="1:45" ht="15.75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52" t="s">
        <v>115</v>
      </c>
      <c r="Y9" s="15"/>
      <c r="Z9" s="15"/>
      <c r="AA9" s="15"/>
      <c r="AB9" s="15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ht="15.75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52" t="s">
        <v>116</v>
      </c>
      <c r="Y10" s="15"/>
      <c r="Z10" s="15"/>
      <c r="AA10" s="15"/>
      <c r="AB10" s="15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1:45" ht="15.75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52" t="s">
        <v>117</v>
      </c>
      <c r="Y11" s="15"/>
      <c r="Z11" s="15"/>
      <c r="AA11" s="15"/>
      <c r="AB11" s="15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52" t="s">
        <v>118</v>
      </c>
      <c r="Y12" s="15"/>
      <c r="Z12" s="15"/>
      <c r="AA12" s="15"/>
      <c r="AB12" s="15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spans="1:45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2" t="s">
        <v>119</v>
      </c>
      <c r="Y13" s="15"/>
      <c r="Z13" s="15"/>
      <c r="AA13" s="15"/>
      <c r="AB13" s="15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spans="1:45" ht="15.75" thickBot="1" x14ac:dyDescent="0.3">
      <c r="A14" s="13"/>
      <c r="B14" s="13"/>
      <c r="C14" s="13"/>
      <c r="D14" s="13"/>
      <c r="E14" s="13"/>
      <c r="F14" s="13"/>
      <c r="G14" s="13"/>
      <c r="H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52" t="s">
        <v>120</v>
      </c>
      <c r="Y14" s="15"/>
      <c r="Z14" s="15"/>
      <c r="AA14" s="15"/>
      <c r="AB14" s="15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</row>
    <row r="15" spans="1:45" ht="15.75" thickBot="1" x14ac:dyDescent="0.3">
      <c r="A15" s="13"/>
      <c r="B15" s="13"/>
      <c r="C15" s="13"/>
      <c r="D15" s="13"/>
      <c r="E15" s="13"/>
      <c r="F15" s="13"/>
      <c r="G15" s="13"/>
      <c r="H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2" t="s">
        <v>121</v>
      </c>
      <c r="Y15" s="15"/>
      <c r="Z15" s="15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  <row r="16" spans="1:45" ht="26.2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36" t="s">
        <v>522</v>
      </c>
      <c r="Y16" s="36"/>
      <c r="Z16" s="36"/>
      <c r="AA16" s="36"/>
      <c r="AB16" s="36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1:4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1:4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1:4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1:45" ht="25.5" x14ac:dyDescent="0.25">
      <c r="A20" s="13"/>
      <c r="B20" s="13"/>
      <c r="C20" s="89" t="s">
        <v>523</v>
      </c>
      <c r="D20" s="200" t="s">
        <v>227</v>
      </c>
      <c r="E20" s="210" t="s">
        <v>575</v>
      </c>
      <c r="H20" s="13"/>
      <c r="I20" s="89" t="s">
        <v>523</v>
      </c>
      <c r="J20" s="200" t="s">
        <v>227</v>
      </c>
      <c r="K20" s="200" t="s">
        <v>575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1:45" x14ac:dyDescent="0.25">
      <c r="A21" s="13"/>
      <c r="B21" s="13"/>
      <c r="C21" s="88"/>
      <c r="D21" s="87"/>
      <c r="E21" s="87"/>
      <c r="H21" s="13"/>
      <c r="I21" s="88"/>
      <c r="J21" s="87"/>
      <c r="K21" s="87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 t="s">
        <v>524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</row>
    <row r="22" spans="1:4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</row>
    <row r="24" spans="1:4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</row>
    <row r="25" spans="1:4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</row>
    <row r="26" spans="1:4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</row>
    <row r="27" spans="1:4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1:4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</row>
    <row r="30" spans="1:4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4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</row>
    <row r="32" spans="1:4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</row>
    <row r="33" spans="1:4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</row>
    <row r="34" spans="1:45" ht="26.25" x14ac:dyDescent="0.25">
      <c r="A34" s="13"/>
      <c r="B34" s="13"/>
      <c r="C34" s="108" t="s">
        <v>525</v>
      </c>
      <c r="D34" s="200" t="s">
        <v>227</v>
      </c>
      <c r="E34" s="210" t="s">
        <v>575</v>
      </c>
      <c r="F34" s="13"/>
      <c r="G34" s="13"/>
      <c r="H34" s="13"/>
      <c r="I34" s="108" t="s">
        <v>525</v>
      </c>
      <c r="J34" s="200" t="s">
        <v>227</v>
      </c>
      <c r="K34" s="200" t="s">
        <v>575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</row>
    <row r="35" spans="1:45" x14ac:dyDescent="0.25">
      <c r="A35" s="13"/>
      <c r="B35" s="13"/>
      <c r="C35" s="88"/>
      <c r="D35" s="87"/>
      <c r="E35" s="87"/>
      <c r="F35" s="13"/>
      <c r="G35" s="13"/>
      <c r="H35" s="13"/>
      <c r="I35" s="88"/>
      <c r="J35" s="87"/>
      <c r="K35" s="8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</row>
    <row r="36" spans="1:4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 t="s">
        <v>526</v>
      </c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</row>
    <row r="37" spans="1:4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spans="1:4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:4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:4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:4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</row>
    <row r="43" spans="1:4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</row>
    <row r="44" spans="1:4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</row>
    <row r="45" spans="1:4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</row>
    <row r="46" spans="1:4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</row>
    <row r="47" spans="1:4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</row>
    <row r="48" spans="1:45" ht="25.5" x14ac:dyDescent="0.25">
      <c r="A48" s="13"/>
      <c r="B48" s="13"/>
      <c r="C48" s="89" t="s">
        <v>527</v>
      </c>
      <c r="D48" s="200" t="s">
        <v>227</v>
      </c>
      <c r="E48" s="210" t="s">
        <v>575</v>
      </c>
      <c r="F48" s="13"/>
      <c r="G48" s="13"/>
      <c r="H48" s="13"/>
      <c r="I48" s="89" t="s">
        <v>527</v>
      </c>
      <c r="J48" s="200" t="s">
        <v>227</v>
      </c>
      <c r="K48" s="200" t="s">
        <v>575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</row>
    <row r="49" spans="1:45" x14ac:dyDescent="0.25">
      <c r="A49" s="13"/>
      <c r="B49" s="13"/>
      <c r="C49" s="88"/>
      <c r="D49" s="87"/>
      <c r="E49" s="87"/>
      <c r="F49" s="13"/>
      <c r="G49" s="13"/>
      <c r="H49" s="13"/>
      <c r="I49" s="88"/>
      <c r="J49" s="87"/>
      <c r="K49" s="87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</row>
    <row r="50" spans="1:4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</row>
    <row r="51" spans="1:4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</row>
    <row r="52" spans="1:4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</row>
    <row r="53" spans="1:4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</row>
    <row r="54" spans="1:4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</row>
    <row r="56" spans="1:4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</row>
    <row r="57" spans="1:4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</row>
    <row r="58" spans="1:4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</row>
    <row r="59" spans="1:4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</row>
    <row r="60" spans="1:4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</row>
    <row r="61" spans="1:4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</row>
    <row r="62" spans="1:45" x14ac:dyDescent="0.25">
      <c r="A62" s="13"/>
      <c r="B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</row>
    <row r="63" spans="1:45" x14ac:dyDescent="0.25">
      <c r="A63" s="13"/>
      <c r="B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</row>
    <row r="64" spans="1:4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</row>
    <row r="65" spans="1:4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</row>
    <row r="66" spans="1:4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</row>
    <row r="67" spans="1:4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</row>
    <row r="68" spans="1:4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</row>
    <row r="69" spans="1:4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</row>
    <row r="70" spans="1:4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</row>
    <row r="71" spans="1:4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</row>
    <row r="72" spans="1:4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</row>
    <row r="73" spans="1:4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</row>
    <row r="74" spans="1:4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</row>
    <row r="75" spans="1:45" x14ac:dyDescent="0.25">
      <c r="A75" s="13"/>
      <c r="B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1:45" x14ac:dyDescent="0.25">
      <c r="A76" s="13"/>
      <c r="B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</row>
    <row r="77" spans="1:45" x14ac:dyDescent="0.25">
      <c r="A77" s="13"/>
      <c r="B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</row>
  </sheetData>
  <mergeCells count="3">
    <mergeCell ref="X6:X7"/>
    <mergeCell ref="Y6:Z6"/>
    <mergeCell ref="AA6:AB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47"/>
  <sheetViews>
    <sheetView zoomScale="70" zoomScaleNormal="70" workbookViewId="0">
      <selection activeCell="C47" sqref="C47"/>
    </sheetView>
  </sheetViews>
  <sheetFormatPr defaultRowHeight="15" x14ac:dyDescent="0.25"/>
  <cols>
    <col min="1" max="2" width="9.140625" style="13"/>
    <col min="3" max="3" width="27.42578125" style="13" customWidth="1"/>
    <col min="4" max="7" width="8.85546875" style="13"/>
    <col min="8" max="8" width="38" style="13" customWidth="1"/>
    <col min="9" max="12" width="8.85546875" style="13"/>
    <col min="13" max="13" width="29.7109375" style="13" customWidth="1"/>
    <col min="14" max="17" width="8.85546875" style="13"/>
    <col min="18" max="18" width="27.85546875" style="13" customWidth="1"/>
    <col min="19" max="19" width="9.140625" style="13"/>
  </cols>
  <sheetData>
    <row r="4" spans="3:6" ht="38.25" x14ac:dyDescent="0.25">
      <c r="C4" s="200" t="s">
        <v>528</v>
      </c>
      <c r="D4" s="197" t="s">
        <v>227</v>
      </c>
      <c r="E4" s="197" t="s">
        <v>575</v>
      </c>
      <c r="F4" s="197" t="s">
        <v>529</v>
      </c>
    </row>
    <row r="5" spans="3:6" x14ac:dyDescent="0.25">
      <c r="C5" s="105" t="s">
        <v>530</v>
      </c>
      <c r="D5" s="87"/>
      <c r="E5" s="87"/>
      <c r="F5" s="90"/>
    </row>
    <row r="6" spans="3:6" ht="25.5" x14ac:dyDescent="0.25">
      <c r="C6" s="106" t="s">
        <v>531</v>
      </c>
      <c r="D6" s="87"/>
      <c r="E6" s="87"/>
      <c r="F6" s="90"/>
    </row>
    <row r="16" spans="3:6" x14ac:dyDescent="0.25">
      <c r="C16" s="197" t="s">
        <v>532</v>
      </c>
      <c r="D16" s="197" t="s">
        <v>227</v>
      </c>
      <c r="E16" s="197" t="s">
        <v>575</v>
      </c>
      <c r="F16" s="197" t="s">
        <v>529</v>
      </c>
    </row>
    <row r="17" spans="3:6" ht="25.5" x14ac:dyDescent="0.25">
      <c r="C17" s="106" t="s">
        <v>533</v>
      </c>
      <c r="D17" s="87"/>
      <c r="E17" s="87"/>
      <c r="F17" s="90"/>
    </row>
    <row r="18" spans="3:6" ht="38.25" x14ac:dyDescent="0.25">
      <c r="C18" s="106" t="s">
        <v>534</v>
      </c>
      <c r="D18" s="87"/>
      <c r="E18" s="87"/>
      <c r="F18" s="90"/>
    </row>
    <row r="19" spans="3:6" ht="25.5" x14ac:dyDescent="0.25">
      <c r="C19" s="106" t="s">
        <v>535</v>
      </c>
      <c r="D19" s="87"/>
      <c r="E19" s="87"/>
      <c r="F19" s="90"/>
    </row>
    <row r="20" spans="3:6" x14ac:dyDescent="0.25">
      <c r="C20" s="105" t="s">
        <v>536</v>
      </c>
      <c r="D20" s="87"/>
      <c r="E20" s="87"/>
      <c r="F20" s="90"/>
    </row>
    <row r="21" spans="3:6" ht="25.5" x14ac:dyDescent="0.25">
      <c r="C21" s="198" t="s">
        <v>537</v>
      </c>
      <c r="D21" s="87"/>
      <c r="E21" s="87"/>
      <c r="F21" s="90"/>
    </row>
    <row r="29" spans="3:6" ht="25.5" x14ac:dyDescent="0.25">
      <c r="C29" s="200" t="s">
        <v>538</v>
      </c>
      <c r="D29" s="200" t="s">
        <v>227</v>
      </c>
      <c r="E29" s="200" t="s">
        <v>575</v>
      </c>
      <c r="F29" s="200" t="s">
        <v>529</v>
      </c>
    </row>
    <row r="30" spans="3:6" ht="25.5" x14ac:dyDescent="0.25">
      <c r="C30" s="106" t="s">
        <v>539</v>
      </c>
      <c r="D30" s="154"/>
      <c r="E30" s="87"/>
      <c r="F30" s="90"/>
    </row>
    <row r="31" spans="3:6" ht="38.25" x14ac:dyDescent="0.25">
      <c r="C31" s="106" t="s">
        <v>540</v>
      </c>
      <c r="D31" s="87"/>
      <c r="E31" s="87"/>
      <c r="F31" s="90"/>
    </row>
    <row r="32" spans="3:6" ht="25.5" x14ac:dyDescent="0.25">
      <c r="C32" s="106" t="s">
        <v>541</v>
      </c>
      <c r="D32" s="87"/>
      <c r="E32" s="87"/>
      <c r="F32" s="90"/>
    </row>
    <row r="44" spans="3:6" ht="38.25" x14ac:dyDescent="0.25">
      <c r="C44" s="200" t="s">
        <v>542</v>
      </c>
      <c r="D44" s="200" t="s">
        <v>227</v>
      </c>
      <c r="E44" s="200" t="s">
        <v>575</v>
      </c>
      <c r="F44" s="200" t="s">
        <v>529</v>
      </c>
    </row>
    <row r="45" spans="3:6" x14ac:dyDescent="0.25">
      <c r="C45" s="92" t="s">
        <v>543</v>
      </c>
      <c r="D45" s="87"/>
      <c r="E45" s="87"/>
      <c r="F45" s="90"/>
    </row>
    <row r="46" spans="3:6" x14ac:dyDescent="0.25">
      <c r="C46" s="92" t="s">
        <v>544</v>
      </c>
      <c r="D46" s="87"/>
      <c r="E46" s="87"/>
      <c r="F46" s="90"/>
    </row>
    <row r="47" spans="3:6" ht="25.5" x14ac:dyDescent="0.25">
      <c r="C47" s="141" t="s">
        <v>545</v>
      </c>
      <c r="D47" s="87"/>
      <c r="E47" s="87"/>
      <c r="F47" s="90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tabSelected="1" workbookViewId="0">
      <selection activeCell="C4" sqref="C4"/>
    </sheetView>
  </sheetViews>
  <sheetFormatPr defaultRowHeight="15" x14ac:dyDescent="0.25"/>
  <cols>
    <col min="3" max="3" width="71.85546875" customWidth="1"/>
    <col min="4" max="5" width="12.7109375" customWidth="1"/>
  </cols>
  <sheetData>
    <row r="3" spans="3:5" x14ac:dyDescent="0.25">
      <c r="C3" s="200" t="s">
        <v>546</v>
      </c>
      <c r="D3" s="197" t="s">
        <v>608</v>
      </c>
      <c r="E3" s="197" t="s">
        <v>575</v>
      </c>
    </row>
    <row r="4" spans="3:5" ht="25.5" x14ac:dyDescent="0.25">
      <c r="C4" s="106" t="s">
        <v>669</v>
      </c>
      <c r="D4" s="87"/>
      <c r="E4" s="87"/>
    </row>
    <row r="5" spans="3:5" ht="26.25" x14ac:dyDescent="0.25">
      <c r="C5" s="104" t="s">
        <v>547</v>
      </c>
      <c r="D5" s="87"/>
      <c r="E5" s="87"/>
    </row>
    <row r="6" spans="3:5" ht="39" x14ac:dyDescent="0.25">
      <c r="C6" s="104" t="s">
        <v>670</v>
      </c>
      <c r="D6" s="87"/>
      <c r="E6" s="87"/>
    </row>
    <row r="7" spans="3:5" ht="11.25" customHeight="1" x14ac:dyDescent="0.25">
      <c r="C7" s="104" t="s">
        <v>548</v>
      </c>
      <c r="D7" s="87"/>
      <c r="E7" s="87"/>
    </row>
    <row r="8" spans="3:5" x14ac:dyDescent="0.25">
      <c r="C8" s="104" t="s">
        <v>549</v>
      </c>
      <c r="D8" s="87"/>
      <c r="E8" s="87"/>
    </row>
    <row r="9" spans="3:5" ht="26.25" x14ac:dyDescent="0.25">
      <c r="C9" s="104" t="s">
        <v>671</v>
      </c>
      <c r="D9" s="87"/>
      <c r="E9" s="87"/>
    </row>
    <row r="10" spans="3:5" x14ac:dyDescent="0.25">
      <c r="C10" s="200" t="s">
        <v>550</v>
      </c>
      <c r="D10" s="197"/>
      <c r="E10" s="197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7"/>
  <sheetViews>
    <sheetView zoomScale="80" zoomScaleNormal="80" workbookViewId="0">
      <selection activeCell="C33" sqref="C33"/>
    </sheetView>
  </sheetViews>
  <sheetFormatPr defaultRowHeight="15" x14ac:dyDescent="0.25"/>
  <cols>
    <col min="3" max="3" width="35.28515625" customWidth="1"/>
    <col min="13" max="13" width="22" customWidth="1"/>
    <col min="19" max="19" width="18.5703125" customWidth="1"/>
    <col min="22" max="22" width="46.140625" customWidth="1"/>
  </cols>
  <sheetData>
    <row r="3" spans="3:5" x14ac:dyDescent="0.25">
      <c r="C3" s="202" t="s">
        <v>610</v>
      </c>
      <c r="D3" s="189" t="s">
        <v>227</v>
      </c>
      <c r="E3" s="189" t="s">
        <v>575</v>
      </c>
    </row>
    <row r="4" spans="3:5" ht="26.25" customHeight="1" x14ac:dyDescent="0.25">
      <c r="C4" s="106" t="s">
        <v>612</v>
      </c>
      <c r="D4" s="87"/>
      <c r="E4" s="87"/>
    </row>
    <row r="5" spans="3:5" ht="26.25" customHeight="1" x14ac:dyDescent="0.25">
      <c r="C5" s="105" t="s">
        <v>611</v>
      </c>
      <c r="D5" s="87"/>
      <c r="E5" s="87"/>
    </row>
    <row r="6" spans="3:5" ht="22.5" customHeight="1" x14ac:dyDescent="0.25"/>
    <row r="14" spans="3:5" x14ac:dyDescent="0.25">
      <c r="C14" s="200" t="s">
        <v>403</v>
      </c>
      <c r="D14" s="200" t="s">
        <v>227</v>
      </c>
      <c r="E14" s="200" t="s">
        <v>575</v>
      </c>
    </row>
    <row r="15" spans="3:5" x14ac:dyDescent="0.25">
      <c r="C15" s="92" t="s">
        <v>402</v>
      </c>
      <c r="D15" s="87"/>
      <c r="E15" s="87"/>
    </row>
    <row r="16" spans="3:5" x14ac:dyDescent="0.25">
      <c r="C16" s="107" t="s">
        <v>401</v>
      </c>
      <c r="D16" s="87"/>
      <c r="E16" s="87"/>
    </row>
    <row r="17" spans="3:5" x14ac:dyDescent="0.25">
      <c r="C17" s="107" t="s">
        <v>349</v>
      </c>
      <c r="D17" s="87"/>
      <c r="E17" s="87"/>
    </row>
    <row r="29" spans="3:5" ht="38.25" x14ac:dyDescent="0.25">
      <c r="C29" s="200" t="s">
        <v>609</v>
      </c>
      <c r="D29" s="200" t="s">
        <v>227</v>
      </c>
      <c r="E29" s="200" t="s">
        <v>575</v>
      </c>
    </row>
    <row r="30" spans="3:5" x14ac:dyDescent="0.25">
      <c r="C30" s="104" t="s">
        <v>613</v>
      </c>
      <c r="D30" s="87">
        <v>86122</v>
      </c>
      <c r="E30" s="87"/>
    </row>
    <row r="31" spans="3:5" x14ac:dyDescent="0.25">
      <c r="C31" s="104" t="s">
        <v>400</v>
      </c>
      <c r="D31" s="87">
        <v>767.1</v>
      </c>
      <c r="E31" s="87"/>
    </row>
    <row r="32" spans="3:5" x14ac:dyDescent="0.25">
      <c r="C32" s="104" t="s">
        <v>399</v>
      </c>
      <c r="D32" s="87">
        <v>55631.8</v>
      </c>
      <c r="E32" s="87"/>
    </row>
    <row r="33" spans="3:5" ht="27" customHeight="1" x14ac:dyDescent="0.25">
      <c r="C33" s="104" t="s">
        <v>398</v>
      </c>
      <c r="D33" s="87">
        <v>215824.7</v>
      </c>
      <c r="E33" s="87"/>
    </row>
    <row r="34" spans="3:5" x14ac:dyDescent="0.25">
      <c r="C34" s="104" t="s">
        <v>397</v>
      </c>
      <c r="D34" s="87">
        <v>186863</v>
      </c>
      <c r="E34" s="87"/>
    </row>
    <row r="35" spans="3:5" x14ac:dyDescent="0.25">
      <c r="C35" s="104" t="s">
        <v>396</v>
      </c>
      <c r="D35" s="87">
        <v>194575</v>
      </c>
      <c r="E35" s="87"/>
    </row>
    <row r="36" spans="3:5" x14ac:dyDescent="0.25">
      <c r="C36" s="104" t="s">
        <v>640</v>
      </c>
      <c r="D36" s="87">
        <v>68717</v>
      </c>
      <c r="E36" s="87"/>
    </row>
    <row r="40" spans="3:5" ht="38.25" x14ac:dyDescent="0.25">
      <c r="C40" s="200" t="s">
        <v>609</v>
      </c>
      <c r="D40" s="200" t="s">
        <v>227</v>
      </c>
      <c r="E40" s="197" t="s">
        <v>575</v>
      </c>
    </row>
    <row r="41" spans="3:5" x14ac:dyDescent="0.25">
      <c r="C41" s="104" t="s">
        <v>613</v>
      </c>
      <c r="D41" s="87">
        <v>86122</v>
      </c>
      <c r="E41" s="87"/>
    </row>
    <row r="42" spans="3:5" x14ac:dyDescent="0.25">
      <c r="C42" s="104" t="s">
        <v>400</v>
      </c>
      <c r="D42" s="87">
        <v>767.1</v>
      </c>
      <c r="E42" s="87"/>
    </row>
    <row r="43" spans="3:5" x14ac:dyDescent="0.25">
      <c r="C43" s="104" t="s">
        <v>399</v>
      </c>
      <c r="D43" s="87">
        <v>55631.8</v>
      </c>
      <c r="E43" s="87"/>
    </row>
    <row r="44" spans="3:5" ht="27" customHeight="1" x14ac:dyDescent="0.25">
      <c r="C44" s="104" t="s">
        <v>398</v>
      </c>
      <c r="D44" s="87">
        <v>215824.7</v>
      </c>
      <c r="E44" s="87"/>
    </row>
    <row r="45" spans="3:5" x14ac:dyDescent="0.25">
      <c r="C45" s="104" t="s">
        <v>397</v>
      </c>
      <c r="D45" s="87">
        <v>186863</v>
      </c>
      <c r="E45" s="87"/>
    </row>
    <row r="46" spans="3:5" x14ac:dyDescent="0.25">
      <c r="C46" s="104" t="s">
        <v>396</v>
      </c>
      <c r="D46" s="87">
        <v>194575</v>
      </c>
      <c r="E46" s="87"/>
    </row>
    <row r="47" spans="3:5" x14ac:dyDescent="0.25">
      <c r="C47" s="104" t="s">
        <v>640</v>
      </c>
      <c r="D47" s="87">
        <v>68717</v>
      </c>
      <c r="E47" s="8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6"/>
  <sheetViews>
    <sheetView zoomScale="80" zoomScaleNormal="80" workbookViewId="0">
      <selection activeCell="M26" sqref="M26"/>
    </sheetView>
  </sheetViews>
  <sheetFormatPr defaultRowHeight="15" x14ac:dyDescent="0.25"/>
  <cols>
    <col min="2" max="2" width="33.42578125" customWidth="1"/>
    <col min="13" max="13" width="21.85546875" customWidth="1"/>
    <col min="19" max="19" width="37.140625" customWidth="1"/>
  </cols>
  <sheetData>
    <row r="3" spans="2:4" ht="25.5" x14ac:dyDescent="0.25">
      <c r="B3" s="200" t="s">
        <v>419</v>
      </c>
      <c r="C3" s="197" t="s">
        <v>227</v>
      </c>
      <c r="D3" s="197" t="s">
        <v>575</v>
      </c>
    </row>
    <row r="4" spans="2:4" x14ac:dyDescent="0.25">
      <c r="B4" s="105" t="s">
        <v>418</v>
      </c>
      <c r="C4" s="87"/>
      <c r="D4" s="87"/>
    </row>
    <row r="5" spans="2:4" x14ac:dyDescent="0.25">
      <c r="B5" s="105" t="s">
        <v>642</v>
      </c>
      <c r="C5" s="87"/>
      <c r="D5" s="87"/>
    </row>
    <row r="6" spans="2:4" x14ac:dyDescent="0.25">
      <c r="B6" s="106" t="s">
        <v>417</v>
      </c>
      <c r="C6" s="87"/>
      <c r="D6" s="87"/>
    </row>
    <row r="7" spans="2:4" x14ac:dyDescent="0.25">
      <c r="B7" s="109" t="s">
        <v>416</v>
      </c>
      <c r="C7" s="68"/>
      <c r="D7" s="68"/>
    </row>
    <row r="8" spans="2:4" x14ac:dyDescent="0.25">
      <c r="B8" s="105" t="s">
        <v>415</v>
      </c>
      <c r="C8" s="87"/>
      <c r="D8" s="87"/>
    </row>
    <row r="9" spans="2:4" x14ac:dyDescent="0.25">
      <c r="B9" s="106" t="s">
        <v>414</v>
      </c>
      <c r="C9" s="87"/>
      <c r="D9" s="87"/>
    </row>
    <row r="10" spans="2:4" x14ac:dyDescent="0.25">
      <c r="B10" s="106" t="s">
        <v>413</v>
      </c>
      <c r="C10" s="87"/>
      <c r="D10" s="87"/>
    </row>
    <row r="11" spans="2:4" x14ac:dyDescent="0.25">
      <c r="B11" s="105" t="s">
        <v>412</v>
      </c>
      <c r="C11" s="87"/>
      <c r="D11" s="87"/>
    </row>
    <row r="12" spans="2:4" x14ac:dyDescent="0.25">
      <c r="B12" s="105" t="s">
        <v>411</v>
      </c>
      <c r="C12" s="87"/>
      <c r="D12" s="87"/>
    </row>
    <row r="18" spans="2:4" x14ac:dyDescent="0.25">
      <c r="B18" s="200" t="s">
        <v>410</v>
      </c>
      <c r="C18" s="197" t="s">
        <v>227</v>
      </c>
      <c r="D18" s="197" t="s">
        <v>575</v>
      </c>
    </row>
    <row r="19" spans="2:4" x14ac:dyDescent="0.25">
      <c r="B19" s="117" t="s">
        <v>614</v>
      </c>
      <c r="C19" s="116"/>
      <c r="D19" s="116"/>
    </row>
    <row r="20" spans="2:4" x14ac:dyDescent="0.25">
      <c r="B20" s="117" t="s">
        <v>641</v>
      </c>
      <c r="C20" s="116"/>
      <c r="D20" s="116"/>
    </row>
    <row r="27" spans="2:4" x14ac:dyDescent="0.25">
      <c r="B27" s="200" t="s">
        <v>409</v>
      </c>
      <c r="C27" s="197" t="s">
        <v>227</v>
      </c>
      <c r="D27" s="197" t="s">
        <v>575</v>
      </c>
    </row>
    <row r="28" spans="2:4" x14ac:dyDescent="0.25">
      <c r="B28" s="114" t="s">
        <v>408</v>
      </c>
      <c r="C28" s="116"/>
      <c r="D28" s="116"/>
    </row>
    <row r="29" spans="2:4" x14ac:dyDescent="0.25">
      <c r="B29" s="115" t="s">
        <v>407</v>
      </c>
      <c r="C29" s="116"/>
      <c r="D29" s="116"/>
    </row>
    <row r="44" spans="2:4" ht="25.5" x14ac:dyDescent="0.25">
      <c r="B44" s="200" t="s">
        <v>406</v>
      </c>
      <c r="C44" s="197" t="s">
        <v>227</v>
      </c>
      <c r="D44" s="197" t="s">
        <v>575</v>
      </c>
    </row>
    <row r="45" spans="2:4" x14ac:dyDescent="0.25">
      <c r="B45" s="204" t="s">
        <v>405</v>
      </c>
      <c r="C45" s="113"/>
      <c r="D45" s="113"/>
    </row>
    <row r="46" spans="2:4" x14ac:dyDescent="0.25">
      <c r="B46" s="205" t="s">
        <v>404</v>
      </c>
      <c r="C46" s="113"/>
      <c r="D46" s="113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zoomScale="80" zoomScaleNormal="80" workbookViewId="0">
      <selection activeCell="U9" sqref="U9"/>
    </sheetView>
  </sheetViews>
  <sheetFormatPr defaultRowHeight="15" x14ac:dyDescent="0.25"/>
  <cols>
    <col min="2" max="2" width="34.7109375" customWidth="1"/>
  </cols>
  <sheetData>
    <row r="2" spans="1:23" ht="33" customHeight="1" x14ac:dyDescent="0.25">
      <c r="B2" s="200" t="s">
        <v>560</v>
      </c>
      <c r="C2" s="197" t="s">
        <v>227</v>
      </c>
      <c r="D2" s="197" t="s">
        <v>575</v>
      </c>
      <c r="O2" s="312"/>
      <c r="P2" s="312"/>
      <c r="Q2" s="312"/>
      <c r="R2" s="312"/>
      <c r="S2" s="312"/>
      <c r="T2" s="312"/>
      <c r="U2" s="312"/>
      <c r="V2" s="312"/>
      <c r="W2" s="312"/>
    </row>
    <row r="3" spans="1:23" x14ac:dyDescent="0.25">
      <c r="B3" s="105" t="s">
        <v>561</v>
      </c>
      <c r="C3" s="87"/>
      <c r="D3" s="87"/>
      <c r="O3" s="312"/>
      <c r="P3" s="312"/>
      <c r="Q3" s="312"/>
      <c r="R3" s="312"/>
      <c r="S3" s="312"/>
      <c r="T3" s="312"/>
      <c r="U3" s="312"/>
      <c r="V3" s="312"/>
      <c r="W3" s="312"/>
    </row>
    <row r="4" spans="1:23" x14ac:dyDescent="0.25">
      <c r="B4" s="105" t="s">
        <v>643</v>
      </c>
      <c r="C4" s="87"/>
      <c r="D4" s="87"/>
      <c r="O4" s="312"/>
      <c r="P4" s="312"/>
      <c r="Q4" s="312"/>
      <c r="R4" s="312"/>
      <c r="S4" s="312"/>
      <c r="T4" s="312"/>
      <c r="U4" s="312"/>
      <c r="V4" s="312"/>
      <c r="W4" s="312"/>
    </row>
    <row r="5" spans="1:23" ht="25.5" x14ac:dyDescent="0.25">
      <c r="B5" s="106" t="s">
        <v>616</v>
      </c>
      <c r="C5" s="87"/>
      <c r="D5" s="87"/>
    </row>
    <row r="14" spans="1:23" x14ac:dyDescent="0.25">
      <c r="B14" s="200" t="s">
        <v>562</v>
      </c>
      <c r="C14" s="200" t="s">
        <v>227</v>
      </c>
      <c r="D14" s="200" t="s">
        <v>575</v>
      </c>
    </row>
    <row r="15" spans="1:23" x14ac:dyDescent="0.25">
      <c r="A15" s="313" t="s">
        <v>563</v>
      </c>
      <c r="B15" s="106" t="s">
        <v>424</v>
      </c>
      <c r="C15" s="87"/>
      <c r="D15" s="87"/>
    </row>
    <row r="16" spans="1:23" ht="25.5" x14ac:dyDescent="0.25">
      <c r="A16" s="313"/>
      <c r="B16" s="106" t="s">
        <v>564</v>
      </c>
      <c r="C16" s="87"/>
      <c r="D16" s="87"/>
    </row>
    <row r="17" spans="1:4" ht="25.5" x14ac:dyDescent="0.25">
      <c r="A17" s="313"/>
      <c r="B17" s="106" t="s">
        <v>565</v>
      </c>
      <c r="C17" s="87"/>
      <c r="D17" s="87"/>
    </row>
    <row r="18" spans="1:4" ht="27.75" customHeight="1" x14ac:dyDescent="0.25">
      <c r="A18" s="313"/>
      <c r="B18" s="106" t="s">
        <v>566</v>
      </c>
      <c r="C18" s="87"/>
      <c r="D18" s="87"/>
    </row>
    <row r="19" spans="1:4" ht="25.5" x14ac:dyDescent="0.25">
      <c r="A19" s="313"/>
      <c r="B19" s="106" t="s">
        <v>567</v>
      </c>
      <c r="C19" s="87"/>
      <c r="D19" s="87"/>
    </row>
    <row r="20" spans="1:4" ht="25.5" x14ac:dyDescent="0.25">
      <c r="A20" s="314" t="s">
        <v>568</v>
      </c>
      <c r="B20" s="106" t="s">
        <v>569</v>
      </c>
      <c r="C20" s="87"/>
      <c r="D20" s="87"/>
    </row>
    <row r="21" spans="1:4" ht="25.5" x14ac:dyDescent="0.25">
      <c r="A21" s="314"/>
      <c r="B21" s="106" t="s">
        <v>570</v>
      </c>
      <c r="C21" s="87"/>
      <c r="D21" s="87"/>
    </row>
    <row r="22" spans="1:4" x14ac:dyDescent="0.25">
      <c r="A22" s="314"/>
      <c r="B22" s="106" t="s">
        <v>571</v>
      </c>
      <c r="C22" s="87"/>
      <c r="D22" s="87"/>
    </row>
    <row r="23" spans="1:4" x14ac:dyDescent="0.25">
      <c r="A23" s="314"/>
      <c r="B23" s="106" t="s">
        <v>572</v>
      </c>
      <c r="C23" s="87"/>
      <c r="D23" s="87"/>
    </row>
    <row r="24" spans="1:4" ht="38.25" x14ac:dyDescent="0.25">
      <c r="A24" s="314"/>
      <c r="B24" s="106" t="s">
        <v>644</v>
      </c>
      <c r="C24" s="87"/>
      <c r="D24" s="87"/>
    </row>
    <row r="28" spans="1:4" ht="21.75" customHeight="1" x14ac:dyDescent="0.25"/>
    <row r="31" spans="1:4" ht="26.25" customHeight="1" x14ac:dyDescent="0.25">
      <c r="B31" s="200" t="s">
        <v>615</v>
      </c>
      <c r="C31" s="200" t="s">
        <v>227</v>
      </c>
      <c r="D31" s="200" t="s">
        <v>575</v>
      </c>
    </row>
    <row r="32" spans="1:4" ht="25.5" x14ac:dyDescent="0.25">
      <c r="B32" s="106" t="s">
        <v>423</v>
      </c>
      <c r="C32" s="87"/>
      <c r="D32" s="87"/>
    </row>
    <row r="33" spans="2:4" x14ac:dyDescent="0.25">
      <c r="B33" s="106" t="s">
        <v>422</v>
      </c>
      <c r="C33" s="87"/>
      <c r="D33" s="87"/>
    </row>
    <row r="34" spans="2:4" x14ac:dyDescent="0.25">
      <c r="B34" s="106" t="s">
        <v>421</v>
      </c>
      <c r="C34" s="87"/>
      <c r="D34" s="87"/>
    </row>
    <row r="35" spans="2:4" x14ac:dyDescent="0.25">
      <c r="B35" s="106" t="s">
        <v>420</v>
      </c>
      <c r="C35" s="87"/>
      <c r="D35" s="87"/>
    </row>
  </sheetData>
  <mergeCells count="3">
    <mergeCell ref="O2:W4"/>
    <mergeCell ref="A15:A19"/>
    <mergeCell ref="A20:A2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opLeftCell="B1" zoomScale="80" zoomScaleNormal="80" workbookViewId="0">
      <selection activeCell="G2" sqref="G2"/>
    </sheetView>
  </sheetViews>
  <sheetFormatPr defaultRowHeight="15" x14ac:dyDescent="0.25"/>
  <cols>
    <col min="1" max="1" width="23.42578125" customWidth="1"/>
    <col min="2" max="5" width="18.28515625" customWidth="1"/>
    <col min="6" max="6" width="21.28515625" customWidth="1"/>
    <col min="7" max="7" width="27.7109375" customWidth="1"/>
    <col min="10" max="10" width="15.42578125" customWidth="1"/>
    <col min="11" max="11" width="18" customWidth="1"/>
    <col min="12" max="12" width="14" bestFit="1" customWidth="1"/>
    <col min="14" max="16" width="35" customWidth="1"/>
  </cols>
  <sheetData>
    <row r="1" spans="1:18" s="57" customFormat="1" ht="15.75" customHeight="1" thickBot="1" x14ac:dyDescent="0.3">
      <c r="A1" s="315" t="s">
        <v>103</v>
      </c>
      <c r="B1" s="317" t="s">
        <v>440</v>
      </c>
      <c r="C1" s="317"/>
      <c r="D1" s="317"/>
      <c r="E1" s="317"/>
      <c r="F1" s="211" t="s">
        <v>439</v>
      </c>
      <c r="G1" s="211"/>
    </row>
    <row r="2" spans="1:18" s="57" customFormat="1" ht="30.75" customHeight="1" thickBot="1" x14ac:dyDescent="0.3">
      <c r="A2" s="316"/>
      <c r="B2" s="134" t="s">
        <v>438</v>
      </c>
      <c r="C2" s="134" t="s">
        <v>437</v>
      </c>
      <c r="D2" s="134" t="s">
        <v>436</v>
      </c>
      <c r="E2" s="134" t="s">
        <v>2</v>
      </c>
      <c r="F2" s="211" t="s">
        <v>435</v>
      </c>
      <c r="G2" s="211" t="s">
        <v>648</v>
      </c>
      <c r="J2" s="211" t="s">
        <v>434</v>
      </c>
      <c r="K2" s="211" t="s">
        <v>433</v>
      </c>
      <c r="N2" s="76" t="s">
        <v>432</v>
      </c>
      <c r="O2" s="76" t="s">
        <v>247</v>
      </c>
      <c r="P2" s="76" t="s">
        <v>431</v>
      </c>
      <c r="R2" s="133" t="s">
        <v>430</v>
      </c>
    </row>
    <row r="3" spans="1:18" s="57" customFormat="1" ht="15.75" thickBot="1" x14ac:dyDescent="0.3">
      <c r="A3" s="127" t="s">
        <v>113</v>
      </c>
      <c r="B3" s="120">
        <f>SUM(B4:B14)</f>
        <v>0</v>
      </c>
      <c r="C3" s="120">
        <f>SUM(C4:C14)</f>
        <v>0</v>
      </c>
      <c r="D3" s="120">
        <f>SUM(D4:D14)</f>
        <v>0</v>
      </c>
      <c r="E3" s="120">
        <f t="shared" ref="E3:E33" si="0">B3+C3+D3</f>
        <v>0</v>
      </c>
      <c r="F3" s="121" t="e">
        <f t="shared" ref="F3:F34" si="1">E3/J3</f>
        <v>#DIV/0!</v>
      </c>
      <c r="G3" s="64" t="s">
        <v>425</v>
      </c>
      <c r="J3" s="126"/>
      <c r="N3" s="132" t="s">
        <v>429</v>
      </c>
      <c r="O3" s="132"/>
      <c r="P3" s="132"/>
    </row>
    <row r="4" spans="1:18" s="57" customFormat="1" ht="15.75" thickBot="1" x14ac:dyDescent="0.3">
      <c r="A4" s="5" t="s">
        <v>18</v>
      </c>
      <c r="B4" s="5"/>
      <c r="C4" s="5"/>
      <c r="D4" s="5"/>
      <c r="E4" s="125"/>
      <c r="F4" s="124" t="e">
        <f t="shared" si="1"/>
        <v>#DIV/0!</v>
      </c>
      <c r="G4" s="206">
        <f>1.39/100000</f>
        <v>1.3899999999999999E-5</v>
      </c>
      <c r="J4" s="128"/>
      <c r="N4" s="131" t="s">
        <v>428</v>
      </c>
      <c r="O4" s="131"/>
      <c r="P4" s="131"/>
    </row>
    <row r="5" spans="1:18" s="57" customFormat="1" ht="30.75" thickBot="1" x14ac:dyDescent="0.3">
      <c r="A5" s="5" t="s">
        <v>19</v>
      </c>
      <c r="B5" s="5"/>
      <c r="C5" s="5"/>
      <c r="D5" s="5"/>
      <c r="E5" s="125"/>
      <c r="F5" s="124" t="e">
        <f t="shared" si="1"/>
        <v>#DIV/0!</v>
      </c>
      <c r="G5" s="206">
        <f>2.83/100000</f>
        <v>2.83E-5</v>
      </c>
      <c r="J5" s="128"/>
      <c r="N5" s="130" t="s">
        <v>617</v>
      </c>
      <c r="O5" s="130"/>
      <c r="P5" s="130"/>
      <c r="R5" s="57" t="s">
        <v>427</v>
      </c>
    </row>
    <row r="6" spans="1:18" s="57" customFormat="1" ht="15.75" thickBot="1" x14ac:dyDescent="0.3">
      <c r="A6" s="5" t="s">
        <v>20</v>
      </c>
      <c r="B6" s="5"/>
      <c r="C6" s="5"/>
      <c r="D6" s="5"/>
      <c r="E6" s="125"/>
      <c r="F6" s="124" t="e">
        <f t="shared" si="1"/>
        <v>#DIV/0!</v>
      </c>
      <c r="G6" s="206">
        <f>2.32/100000</f>
        <v>2.3199999999999998E-5</v>
      </c>
      <c r="J6" s="128"/>
      <c r="N6" s="129" t="s">
        <v>426</v>
      </c>
      <c r="O6" s="129"/>
      <c r="P6" s="129"/>
    </row>
    <row r="7" spans="1:18" s="57" customFormat="1" ht="15.75" thickBot="1" x14ac:dyDescent="0.3">
      <c r="A7" s="5" t="s">
        <v>21</v>
      </c>
      <c r="B7" s="5"/>
      <c r="C7" s="5"/>
      <c r="D7" s="5"/>
      <c r="E7" s="125"/>
      <c r="F7" s="124" t="e">
        <f t="shared" si="1"/>
        <v>#DIV/0!</v>
      </c>
      <c r="G7" s="206">
        <f>3.81/100000</f>
        <v>3.8099999999999998E-5</v>
      </c>
      <c r="J7" s="128"/>
    </row>
    <row r="8" spans="1:18" s="57" customFormat="1" ht="15.75" thickBot="1" x14ac:dyDescent="0.3">
      <c r="A8" s="5" t="s">
        <v>22</v>
      </c>
      <c r="B8" s="5"/>
      <c r="C8" s="5"/>
      <c r="D8" s="5"/>
      <c r="E8" s="125"/>
      <c r="F8" s="124" t="e">
        <f t="shared" si="1"/>
        <v>#DIV/0!</v>
      </c>
      <c r="G8" s="206">
        <f>1.63/100000</f>
        <v>1.63E-5</v>
      </c>
      <c r="J8" s="128"/>
    </row>
    <row r="9" spans="1:18" s="57" customFormat="1" ht="15.75" thickBot="1" x14ac:dyDescent="0.3">
      <c r="A9" s="5" t="s">
        <v>23</v>
      </c>
      <c r="B9" s="5"/>
      <c r="C9" s="5"/>
      <c r="D9" s="5"/>
      <c r="E9" s="125"/>
      <c r="F9" s="124" t="e">
        <f t="shared" si="1"/>
        <v>#DIV/0!</v>
      </c>
      <c r="G9" s="206">
        <f>2.38/100000</f>
        <v>2.3799999999999999E-5</v>
      </c>
      <c r="J9" s="128"/>
    </row>
    <row r="10" spans="1:18" s="57" customFormat="1" ht="15.75" thickBot="1" x14ac:dyDescent="0.3">
      <c r="A10" s="5" t="s">
        <v>24</v>
      </c>
      <c r="B10" s="5"/>
      <c r="C10" s="5"/>
      <c r="D10" s="5"/>
      <c r="E10" s="125"/>
      <c r="F10" s="124" t="e">
        <f t="shared" si="1"/>
        <v>#DIV/0!</v>
      </c>
      <c r="G10" s="206">
        <f>1.57/100000</f>
        <v>1.5700000000000002E-5</v>
      </c>
      <c r="J10" s="128"/>
    </row>
    <row r="11" spans="1:18" s="57" customFormat="1" ht="15.75" thickBot="1" x14ac:dyDescent="0.3">
      <c r="A11" s="5" t="s">
        <v>25</v>
      </c>
      <c r="B11" s="5"/>
      <c r="C11" s="5"/>
      <c r="D11" s="5"/>
      <c r="E11" s="125"/>
      <c r="F11" s="124" t="e">
        <f t="shared" si="1"/>
        <v>#DIV/0!</v>
      </c>
      <c r="G11" s="206">
        <f>3.54/100000</f>
        <v>3.54E-5</v>
      </c>
      <c r="J11" s="128"/>
    </row>
    <row r="12" spans="1:18" s="57" customFormat="1" ht="15.75" thickBot="1" x14ac:dyDescent="0.3">
      <c r="A12" s="5" t="s">
        <v>26</v>
      </c>
      <c r="B12" s="5"/>
      <c r="C12" s="5"/>
      <c r="D12" s="5"/>
      <c r="E12" s="125"/>
      <c r="F12" s="124" t="e">
        <f t="shared" si="1"/>
        <v>#DIV/0!</v>
      </c>
      <c r="G12" s="206">
        <f>1.75/10000</f>
        <v>1.75E-4</v>
      </c>
      <c r="J12" s="128"/>
    </row>
    <row r="13" spans="1:18" s="57" customFormat="1" ht="26.25" thickBot="1" x14ac:dyDescent="0.3">
      <c r="A13" s="5" t="s">
        <v>27</v>
      </c>
      <c r="B13" s="5"/>
      <c r="C13" s="5"/>
      <c r="D13" s="5"/>
      <c r="E13" s="125"/>
      <c r="F13" s="124" t="e">
        <f t="shared" si="1"/>
        <v>#DIV/0!</v>
      </c>
      <c r="G13" s="206">
        <f>1.31/100000</f>
        <v>1.31E-5</v>
      </c>
      <c r="J13" s="128"/>
    </row>
    <row r="14" spans="1:18" s="57" customFormat="1" ht="26.25" thickBot="1" x14ac:dyDescent="0.3">
      <c r="A14" s="5" t="s">
        <v>28</v>
      </c>
      <c r="B14" s="5"/>
      <c r="C14" s="5"/>
      <c r="D14" s="5"/>
      <c r="E14" s="125"/>
      <c r="F14" s="124" t="e">
        <f t="shared" si="1"/>
        <v>#DIV/0!</v>
      </c>
      <c r="G14" s="206">
        <f>9.22/100000</f>
        <v>9.2200000000000005E-5</v>
      </c>
      <c r="J14" s="128"/>
    </row>
    <row r="15" spans="1:18" s="57" customFormat="1" ht="15.75" thickBot="1" x14ac:dyDescent="0.3">
      <c r="A15" s="127" t="s">
        <v>115</v>
      </c>
      <c r="B15" s="120">
        <f>SUM(B16:B25)</f>
        <v>0</v>
      </c>
      <c r="C15" s="120">
        <f>SUM(C16:C25)</f>
        <v>0</v>
      </c>
      <c r="D15" s="120">
        <f>SUM(D16:D25)</f>
        <v>0</v>
      </c>
      <c r="E15" s="120">
        <f t="shared" si="0"/>
        <v>0</v>
      </c>
      <c r="F15" s="121" t="e">
        <f t="shared" si="1"/>
        <v>#DIV/0!</v>
      </c>
      <c r="G15" s="64" t="s">
        <v>425</v>
      </c>
      <c r="J15" s="126"/>
    </row>
    <row r="16" spans="1:18" s="57" customFormat="1" ht="15.75" thickBot="1" x14ac:dyDescent="0.3">
      <c r="A16" s="5" t="s">
        <v>29</v>
      </c>
      <c r="B16" s="5"/>
      <c r="C16" s="5"/>
      <c r="D16" s="5"/>
      <c r="E16" s="125"/>
      <c r="F16" s="124" t="e">
        <f t="shared" si="1"/>
        <v>#DIV/0!</v>
      </c>
      <c r="G16" s="206">
        <f>1.94/100000</f>
        <v>1.9400000000000001E-5</v>
      </c>
      <c r="J16" s="123"/>
    </row>
    <row r="17" spans="1:10" s="57" customFormat="1" ht="15.75" thickBot="1" x14ac:dyDescent="0.3">
      <c r="A17" s="5" t="s">
        <v>30</v>
      </c>
      <c r="B17" s="5"/>
      <c r="C17" s="5"/>
      <c r="D17" s="5"/>
      <c r="E17" s="125"/>
      <c r="F17" s="124" t="e">
        <f t="shared" si="1"/>
        <v>#DIV/0!</v>
      </c>
      <c r="G17" s="206">
        <f>2.99/100000</f>
        <v>2.9900000000000002E-5</v>
      </c>
      <c r="J17" s="123"/>
    </row>
    <row r="18" spans="1:10" s="57" customFormat="1" ht="15.75" thickBot="1" x14ac:dyDescent="0.3">
      <c r="A18" s="5" t="s">
        <v>31</v>
      </c>
      <c r="B18" s="5"/>
      <c r="C18" s="5"/>
      <c r="D18" s="5"/>
      <c r="E18" s="125"/>
      <c r="F18" s="124" t="e">
        <f t="shared" si="1"/>
        <v>#DIV/0!</v>
      </c>
      <c r="G18" s="206">
        <f>1.5/100000</f>
        <v>1.5E-5</v>
      </c>
      <c r="J18" s="123"/>
    </row>
    <row r="19" spans="1:10" s="57" customFormat="1" ht="15.75" thickBot="1" x14ac:dyDescent="0.3">
      <c r="A19" s="5" t="s">
        <v>32</v>
      </c>
      <c r="B19" s="5"/>
      <c r="C19" s="5"/>
      <c r="D19" s="5"/>
      <c r="E19" s="125"/>
      <c r="F19" s="124" t="e">
        <f t="shared" si="1"/>
        <v>#DIV/0!</v>
      </c>
      <c r="G19" s="206">
        <f>1.27/100000</f>
        <v>1.27E-5</v>
      </c>
      <c r="J19" s="123"/>
    </row>
    <row r="20" spans="1:10" s="57" customFormat="1" ht="15.75" thickBot="1" x14ac:dyDescent="0.3">
      <c r="A20" s="5" t="s">
        <v>33</v>
      </c>
      <c r="B20" s="5"/>
      <c r="C20" s="5"/>
      <c r="D20" s="5"/>
      <c r="E20" s="125"/>
      <c r="F20" s="124" t="e">
        <f t="shared" si="1"/>
        <v>#DIV/0!</v>
      </c>
      <c r="G20" s="206">
        <f>1.61/100000</f>
        <v>1.6100000000000002E-5</v>
      </c>
      <c r="J20" s="123"/>
    </row>
    <row r="21" spans="1:10" s="57" customFormat="1" ht="15.75" thickBot="1" x14ac:dyDescent="0.3">
      <c r="A21" s="5" t="s">
        <v>34</v>
      </c>
      <c r="B21" s="5"/>
      <c r="C21" s="5"/>
      <c r="D21" s="5"/>
      <c r="E21" s="125"/>
      <c r="F21" s="124" t="e">
        <f t="shared" si="1"/>
        <v>#DIV/0!</v>
      </c>
      <c r="G21" s="206">
        <f>2.05/100000</f>
        <v>2.0499999999999997E-5</v>
      </c>
      <c r="J21" s="123"/>
    </row>
    <row r="22" spans="1:10" s="57" customFormat="1" ht="26.25" thickBot="1" x14ac:dyDescent="0.3">
      <c r="A22" s="5" t="s">
        <v>35</v>
      </c>
      <c r="B22" s="5"/>
      <c r="C22" s="5"/>
      <c r="D22" s="5"/>
      <c r="E22" s="125"/>
      <c r="F22" s="124" t="e">
        <f t="shared" si="1"/>
        <v>#DIV/0!</v>
      </c>
      <c r="G22" s="206">
        <f>1.73/100000</f>
        <v>1.73E-5</v>
      </c>
      <c r="J22" s="123"/>
    </row>
    <row r="23" spans="1:10" s="57" customFormat="1" ht="15.75" thickBot="1" x14ac:dyDescent="0.3">
      <c r="A23" s="5" t="s">
        <v>36</v>
      </c>
      <c r="B23" s="5"/>
      <c r="C23" s="5"/>
      <c r="D23" s="5"/>
      <c r="E23" s="125"/>
      <c r="F23" s="124" t="e">
        <f t="shared" si="1"/>
        <v>#DIV/0!</v>
      </c>
      <c r="G23" s="206">
        <f>1.2/100000</f>
        <v>1.2E-5</v>
      </c>
      <c r="J23" s="123"/>
    </row>
    <row r="24" spans="1:10" s="57" customFormat="1" ht="15.75" thickBot="1" x14ac:dyDescent="0.3">
      <c r="A24" s="5" t="s">
        <v>37</v>
      </c>
      <c r="B24" s="5"/>
      <c r="C24" s="5"/>
      <c r="D24" s="5"/>
      <c r="E24" s="125"/>
      <c r="F24" s="124" t="e">
        <f t="shared" si="1"/>
        <v>#DIV/0!</v>
      </c>
      <c r="G24" s="206">
        <f>1.23/100000</f>
        <v>1.2299999999999999E-5</v>
      </c>
      <c r="J24" s="123"/>
    </row>
    <row r="25" spans="1:10" s="57" customFormat="1" ht="15.75" thickBot="1" x14ac:dyDescent="0.3">
      <c r="A25" s="5" t="s">
        <v>38</v>
      </c>
      <c r="B25" s="5"/>
      <c r="C25" s="5"/>
      <c r="D25" s="5"/>
      <c r="E25" s="125"/>
      <c r="F25" s="124" t="e">
        <f t="shared" si="1"/>
        <v>#DIV/0!</v>
      </c>
      <c r="G25" s="206">
        <f>1.47/100000</f>
        <v>1.47E-5</v>
      </c>
      <c r="J25" s="123"/>
    </row>
    <row r="26" spans="1:10" s="57" customFormat="1" ht="15.75" thickBot="1" x14ac:dyDescent="0.3">
      <c r="A26" s="127" t="s">
        <v>116</v>
      </c>
      <c r="B26" s="120">
        <f>SUM(B27:B32)</f>
        <v>0</v>
      </c>
      <c r="C26" s="120">
        <f>SUM(C27:C32)</f>
        <v>0</v>
      </c>
      <c r="D26" s="120">
        <f>SUM(D27:D32)</f>
        <v>0</v>
      </c>
      <c r="E26" s="120">
        <f t="shared" si="0"/>
        <v>0</v>
      </c>
      <c r="F26" s="121" t="e">
        <f t="shared" si="1"/>
        <v>#DIV/0!</v>
      </c>
      <c r="G26" s="64" t="s">
        <v>425</v>
      </c>
      <c r="J26" s="126"/>
    </row>
    <row r="27" spans="1:10" s="57" customFormat="1" ht="15.75" thickBot="1" x14ac:dyDescent="0.3">
      <c r="A27" s="5" t="s">
        <v>39</v>
      </c>
      <c r="B27" s="5"/>
      <c r="C27" s="5"/>
      <c r="D27" s="5"/>
      <c r="E27" s="125"/>
      <c r="F27" s="124" t="e">
        <f t="shared" si="1"/>
        <v>#DIV/0!</v>
      </c>
      <c r="G27" s="206">
        <f>1.23/100000</f>
        <v>1.2299999999999999E-5</v>
      </c>
      <c r="J27" s="123"/>
    </row>
    <row r="28" spans="1:10" s="57" customFormat="1" ht="15.75" thickBot="1" x14ac:dyDescent="0.3">
      <c r="A28" s="5" t="s">
        <v>40</v>
      </c>
      <c r="B28" s="5"/>
      <c r="C28" s="5"/>
      <c r="D28" s="5"/>
      <c r="E28" s="125"/>
      <c r="F28" s="124" t="e">
        <f t="shared" si="1"/>
        <v>#DIV/0!</v>
      </c>
      <c r="G28" s="206">
        <f>1.23/100000</f>
        <v>1.2299999999999999E-5</v>
      </c>
      <c r="J28" s="123"/>
    </row>
    <row r="29" spans="1:10" s="57" customFormat="1" ht="15.75" thickBot="1" x14ac:dyDescent="0.3">
      <c r="A29" s="5" t="s">
        <v>41</v>
      </c>
      <c r="B29" s="5"/>
      <c r="C29" s="5"/>
      <c r="D29" s="5"/>
      <c r="E29" s="125"/>
      <c r="F29" s="124" t="e">
        <f t="shared" si="1"/>
        <v>#DIV/0!</v>
      </c>
      <c r="G29" s="206">
        <f>1.56/100000</f>
        <v>1.56E-5</v>
      </c>
      <c r="J29" s="123"/>
    </row>
    <row r="30" spans="1:10" s="57" customFormat="1" ht="15.75" thickBot="1" x14ac:dyDescent="0.3">
      <c r="A30" s="5" t="s">
        <v>42</v>
      </c>
      <c r="B30" s="5"/>
      <c r="C30" s="5"/>
      <c r="D30" s="5"/>
      <c r="E30" s="125"/>
      <c r="F30" s="124" t="e">
        <f t="shared" si="1"/>
        <v>#DIV/0!</v>
      </c>
      <c r="G30" s="206">
        <f>8.9/1000000</f>
        <v>8.9000000000000012E-6</v>
      </c>
      <c r="J30" s="123"/>
    </row>
    <row r="31" spans="1:10" s="57" customFormat="1" ht="26.25" thickBot="1" x14ac:dyDescent="0.3">
      <c r="A31" s="5" t="s">
        <v>43</v>
      </c>
      <c r="B31" s="5"/>
      <c r="C31" s="5"/>
      <c r="D31" s="5"/>
      <c r="E31" s="125"/>
      <c r="F31" s="124" t="e">
        <f t="shared" si="1"/>
        <v>#DIV/0!</v>
      </c>
      <c r="G31" s="206">
        <f>2.06/100000</f>
        <v>2.0599999999999999E-5</v>
      </c>
      <c r="J31" s="123"/>
    </row>
    <row r="32" spans="1:10" s="57" customFormat="1" ht="26.25" thickBot="1" x14ac:dyDescent="0.3">
      <c r="A32" s="5" t="s">
        <v>44</v>
      </c>
      <c r="B32" s="5"/>
      <c r="C32" s="5"/>
      <c r="D32" s="5"/>
      <c r="E32" s="125"/>
      <c r="F32" s="124" t="e">
        <f t="shared" si="1"/>
        <v>#DIV/0!</v>
      </c>
      <c r="G32" s="206">
        <f>2.01/100000</f>
        <v>2.0099999999999997E-5</v>
      </c>
      <c r="J32" s="123"/>
    </row>
    <row r="33" spans="1:10" s="57" customFormat="1" ht="15.75" thickBot="1" x14ac:dyDescent="0.3">
      <c r="A33" s="127" t="s">
        <v>117</v>
      </c>
      <c r="B33" s="120">
        <f>SUM(B34:B47)</f>
        <v>0</v>
      </c>
      <c r="C33" s="120">
        <f>SUM(C34:C47)</f>
        <v>0</v>
      </c>
      <c r="D33" s="120">
        <f>SUM(D34:D47)</f>
        <v>0</v>
      </c>
      <c r="E33" s="120">
        <f t="shared" si="0"/>
        <v>0</v>
      </c>
      <c r="F33" s="121" t="e">
        <f t="shared" si="1"/>
        <v>#DIV/0!</v>
      </c>
      <c r="G33" s="64" t="s">
        <v>425</v>
      </c>
      <c r="J33" s="126"/>
    </row>
    <row r="34" spans="1:10" s="57" customFormat="1" ht="30" customHeight="1" thickBot="1" x14ac:dyDescent="0.3">
      <c r="A34" s="5" t="s">
        <v>45</v>
      </c>
      <c r="B34" s="5"/>
      <c r="C34" s="5"/>
      <c r="D34" s="5"/>
      <c r="E34" s="125"/>
      <c r="F34" s="124" t="e">
        <f t="shared" si="1"/>
        <v>#DIV/0!</v>
      </c>
      <c r="G34" s="206">
        <f>1.16/100000</f>
        <v>1.1599999999999999E-5</v>
      </c>
      <c r="J34" s="123"/>
    </row>
    <row r="35" spans="1:10" s="57" customFormat="1" ht="15.75" thickBot="1" x14ac:dyDescent="0.3">
      <c r="A35" s="5" t="s">
        <v>46</v>
      </c>
      <c r="B35" s="5"/>
      <c r="C35" s="5"/>
      <c r="D35" s="5"/>
      <c r="E35" s="125"/>
      <c r="F35" s="124" t="e">
        <f t="shared" ref="F35:F66" si="2">E35/J35</f>
        <v>#DIV/0!</v>
      </c>
      <c r="G35" s="206">
        <f>1.5/100000</f>
        <v>1.5E-5</v>
      </c>
      <c r="J35" s="123"/>
    </row>
    <row r="36" spans="1:10" s="57" customFormat="1" ht="15.75" thickBot="1" x14ac:dyDescent="0.3">
      <c r="A36" s="5" t="s">
        <v>47</v>
      </c>
      <c r="B36" s="5"/>
      <c r="C36" s="5"/>
      <c r="D36" s="5"/>
      <c r="E36" s="125"/>
      <c r="F36" s="124" t="e">
        <f t="shared" si="2"/>
        <v>#DIV/0!</v>
      </c>
      <c r="G36" s="206">
        <f>1.04/100000</f>
        <v>1.04E-5</v>
      </c>
      <c r="J36" s="123"/>
    </row>
    <row r="37" spans="1:10" s="57" customFormat="1" ht="15.75" thickBot="1" x14ac:dyDescent="0.3">
      <c r="A37" s="5" t="s">
        <v>48</v>
      </c>
      <c r="B37" s="5"/>
      <c r="C37" s="5"/>
      <c r="D37" s="5"/>
      <c r="E37" s="125"/>
      <c r="F37" s="124" t="e">
        <f t="shared" si="2"/>
        <v>#DIV/0!</v>
      </c>
      <c r="G37" s="206">
        <f>1.05/100000</f>
        <v>1.0500000000000001E-5</v>
      </c>
      <c r="J37" s="123"/>
    </row>
    <row r="38" spans="1:10" s="57" customFormat="1" ht="15.75" thickBot="1" x14ac:dyDescent="0.3">
      <c r="A38" s="5" t="s">
        <v>49</v>
      </c>
      <c r="B38" s="5"/>
      <c r="C38" s="5"/>
      <c r="D38" s="5"/>
      <c r="E38" s="125"/>
      <c r="F38" s="124" t="e">
        <f t="shared" si="2"/>
        <v>#DIV/0!</v>
      </c>
      <c r="G38" s="206">
        <f>1.25/100000</f>
        <v>1.2500000000000001E-5</v>
      </c>
      <c r="J38" s="123"/>
    </row>
    <row r="39" spans="1:10" s="57" customFormat="1" ht="26.25" thickBot="1" x14ac:dyDescent="0.3">
      <c r="A39" s="148" t="s">
        <v>503</v>
      </c>
      <c r="B39" s="5"/>
      <c r="C39" s="5"/>
      <c r="D39" s="5"/>
      <c r="E39" s="125"/>
      <c r="F39" s="124" t="e">
        <f t="shared" si="2"/>
        <v>#DIV/0!</v>
      </c>
      <c r="G39" s="206">
        <f>9.23/1000000</f>
        <v>9.2299999999999997E-6</v>
      </c>
      <c r="J39" s="123"/>
    </row>
    <row r="40" spans="1:10" s="57" customFormat="1" ht="15.75" thickBot="1" x14ac:dyDescent="0.3">
      <c r="A40" s="5" t="s">
        <v>51</v>
      </c>
      <c r="B40" s="5"/>
      <c r="C40" s="5"/>
      <c r="D40" s="5"/>
      <c r="E40" s="125"/>
      <c r="F40" s="124" t="e">
        <f t="shared" si="2"/>
        <v>#DIV/0!</v>
      </c>
      <c r="G40" s="206">
        <f>1.78/100000</f>
        <v>1.7799999999999999E-5</v>
      </c>
      <c r="J40" s="123"/>
    </row>
    <row r="41" spans="1:10" s="57" customFormat="1" ht="15.75" thickBot="1" x14ac:dyDescent="0.3">
      <c r="A41" s="5" t="s">
        <v>52</v>
      </c>
      <c r="B41" s="5"/>
      <c r="C41" s="5"/>
      <c r="D41" s="5"/>
      <c r="E41" s="125"/>
      <c r="F41" s="124" t="e">
        <f t="shared" si="2"/>
        <v>#DIV/0!</v>
      </c>
      <c r="G41" s="206">
        <f>1.37/100000</f>
        <v>1.3700000000000001E-5</v>
      </c>
      <c r="J41" s="123"/>
    </row>
    <row r="42" spans="1:10" s="57" customFormat="1" ht="15.75" thickBot="1" x14ac:dyDescent="0.3">
      <c r="A42" s="5" t="s">
        <v>53</v>
      </c>
      <c r="B42" s="5"/>
      <c r="C42" s="5"/>
      <c r="D42" s="5"/>
      <c r="E42" s="125"/>
      <c r="F42" s="124" t="e">
        <f t="shared" si="2"/>
        <v>#DIV/0!</v>
      </c>
      <c r="G42" s="206">
        <f>1.23/100000</f>
        <v>1.2299999999999999E-5</v>
      </c>
      <c r="J42" s="123"/>
    </row>
    <row r="43" spans="1:10" s="57" customFormat="1" ht="15.75" thickBot="1" x14ac:dyDescent="0.3">
      <c r="A43" s="5" t="s">
        <v>54</v>
      </c>
      <c r="B43" s="5"/>
      <c r="C43" s="5"/>
      <c r="D43" s="5"/>
      <c r="E43" s="125"/>
      <c r="F43" s="124" t="e">
        <f t="shared" si="2"/>
        <v>#DIV/0!</v>
      </c>
      <c r="G43" s="206">
        <f>9.97/1000000</f>
        <v>9.9700000000000011E-6</v>
      </c>
      <c r="J43" s="123"/>
    </row>
    <row r="44" spans="1:10" s="57" customFormat="1" ht="15.75" thickBot="1" x14ac:dyDescent="0.3">
      <c r="A44" s="5" t="s">
        <v>55</v>
      </c>
      <c r="B44" s="5"/>
      <c r="C44" s="5"/>
      <c r="D44" s="5"/>
      <c r="E44" s="125"/>
      <c r="F44" s="124" t="e">
        <f t="shared" si="2"/>
        <v>#DIV/0!</v>
      </c>
      <c r="G44" s="206">
        <f>7.89/1000000</f>
        <v>7.889999999999999E-6</v>
      </c>
      <c r="J44" s="123"/>
    </row>
    <row r="45" spans="1:10" s="57" customFormat="1" ht="15.75" thickBot="1" x14ac:dyDescent="0.3">
      <c r="A45" s="5" t="s">
        <v>56</v>
      </c>
      <c r="B45" s="5"/>
      <c r="C45" s="5"/>
      <c r="D45" s="5"/>
      <c r="E45" s="125"/>
      <c r="F45" s="124" t="e">
        <f t="shared" si="2"/>
        <v>#DIV/0!</v>
      </c>
      <c r="G45" s="206">
        <f>1.08/100000</f>
        <v>1.08E-5</v>
      </c>
      <c r="J45" s="123"/>
    </row>
    <row r="46" spans="1:10" s="57" customFormat="1" ht="15.75" thickBot="1" x14ac:dyDescent="0.3">
      <c r="A46" s="5" t="s">
        <v>57</v>
      </c>
      <c r="B46" s="5"/>
      <c r="C46" s="5"/>
      <c r="D46" s="5"/>
      <c r="E46" s="125"/>
      <c r="F46" s="124" t="e">
        <f t="shared" si="2"/>
        <v>#DIV/0!</v>
      </c>
      <c r="G46" s="206">
        <f>7.92/1000000</f>
        <v>7.9200000000000004E-6</v>
      </c>
      <c r="J46" s="123"/>
    </row>
    <row r="47" spans="1:10" s="57" customFormat="1" ht="15.75" thickBot="1" x14ac:dyDescent="0.3">
      <c r="A47" s="5" t="s">
        <v>58</v>
      </c>
      <c r="B47" s="5"/>
      <c r="C47" s="5"/>
      <c r="D47" s="5"/>
      <c r="E47" s="125"/>
      <c r="F47" s="124" t="e">
        <f t="shared" si="2"/>
        <v>#DIV/0!</v>
      </c>
      <c r="G47" s="206">
        <f>9.57/1000000</f>
        <v>9.5699999999999999E-6</v>
      </c>
      <c r="J47" s="123"/>
    </row>
    <row r="48" spans="1:10" s="57" customFormat="1" ht="15.75" thickBot="1" x14ac:dyDescent="0.3">
      <c r="A48" s="127" t="s">
        <v>118</v>
      </c>
      <c r="B48" s="120">
        <f>SUM(B49:B56)</f>
        <v>0</v>
      </c>
      <c r="C48" s="120">
        <f>SUM(C49:C56)</f>
        <v>0</v>
      </c>
      <c r="D48" s="120">
        <f>SUM(D49:D56)</f>
        <v>0</v>
      </c>
      <c r="E48" s="120">
        <f t="shared" ref="E48:E65" si="3">B48+C48+D48</f>
        <v>0</v>
      </c>
      <c r="F48" s="121" t="e">
        <f t="shared" si="2"/>
        <v>#DIV/0!</v>
      </c>
      <c r="G48" s="64" t="s">
        <v>425</v>
      </c>
      <c r="J48" s="126"/>
    </row>
    <row r="49" spans="1:10" s="57" customFormat="1" ht="15.75" thickBot="1" x14ac:dyDescent="0.3">
      <c r="A49" s="5" t="s">
        <v>59</v>
      </c>
      <c r="B49" s="5"/>
      <c r="C49" s="5"/>
      <c r="D49" s="5"/>
      <c r="E49" s="125"/>
      <c r="F49" s="124" t="e">
        <f t="shared" si="2"/>
        <v>#DIV/0!</v>
      </c>
      <c r="G49" s="206">
        <f>6.3/1000000</f>
        <v>6.2999999999999998E-6</v>
      </c>
      <c r="J49" s="123"/>
    </row>
    <row r="50" spans="1:10" s="57" customFormat="1" ht="15.75" thickBot="1" x14ac:dyDescent="0.3">
      <c r="A50" s="5" t="s">
        <v>60</v>
      </c>
      <c r="B50" s="5"/>
      <c r="C50" s="5"/>
      <c r="D50" s="5"/>
      <c r="E50" s="125"/>
      <c r="F50" s="124" t="e">
        <f t="shared" si="2"/>
        <v>#DIV/0!</v>
      </c>
      <c r="G50" s="206">
        <f>1.25/100000</f>
        <v>1.2500000000000001E-5</v>
      </c>
      <c r="J50" s="123"/>
    </row>
    <row r="51" spans="1:10" s="57" customFormat="1" ht="15.75" thickBot="1" x14ac:dyDescent="0.3">
      <c r="A51" s="5" t="s">
        <v>61</v>
      </c>
      <c r="B51" s="5"/>
      <c r="C51" s="5"/>
      <c r="D51" s="5"/>
      <c r="E51" s="125"/>
      <c r="F51" s="124" t="e">
        <f t="shared" si="2"/>
        <v>#DIV/0!</v>
      </c>
      <c r="G51" s="206">
        <f>1.15/100000</f>
        <v>1.1499999999999998E-5</v>
      </c>
      <c r="J51" s="123"/>
    </row>
    <row r="52" spans="1:10" s="57" customFormat="1" ht="15.75" thickBot="1" x14ac:dyDescent="0.3">
      <c r="A52" s="5" t="s">
        <v>62</v>
      </c>
      <c r="B52" s="5"/>
      <c r="C52" s="5"/>
      <c r="D52" s="5"/>
      <c r="E52" s="125"/>
      <c r="F52" s="124" t="e">
        <f t="shared" si="2"/>
        <v>#DIV/0!</v>
      </c>
      <c r="G52" s="206">
        <f>6.53/1000000</f>
        <v>6.5300000000000002E-6</v>
      </c>
      <c r="J52" s="123"/>
    </row>
    <row r="53" spans="1:10" s="57" customFormat="1" ht="15.75" thickBot="1" x14ac:dyDescent="0.3">
      <c r="A53" s="5" t="s">
        <v>63</v>
      </c>
      <c r="B53" s="5"/>
      <c r="C53" s="5"/>
      <c r="D53" s="5"/>
      <c r="E53" s="125"/>
      <c r="F53" s="124" t="e">
        <f t="shared" si="2"/>
        <v>#DIV/0!</v>
      </c>
      <c r="G53" s="206">
        <f>6.62/1000000</f>
        <v>6.6200000000000001E-6</v>
      </c>
      <c r="J53" s="123"/>
    </row>
    <row r="54" spans="1:10" s="57" customFormat="1" ht="15.75" thickBot="1" x14ac:dyDescent="0.3">
      <c r="A54" s="5" t="s">
        <v>64</v>
      </c>
      <c r="B54" s="5"/>
      <c r="C54" s="5"/>
      <c r="D54" s="5"/>
      <c r="E54" s="125"/>
      <c r="F54" s="124" t="e">
        <f t="shared" si="2"/>
        <v>#DIV/0!</v>
      </c>
      <c r="G54" s="206">
        <f>1.12/100000</f>
        <v>1.1200000000000001E-5</v>
      </c>
      <c r="J54" s="123"/>
    </row>
    <row r="55" spans="1:10" s="57" customFormat="1" ht="15.75" thickBot="1" x14ac:dyDescent="0.3">
      <c r="A55" s="5" t="s">
        <v>65</v>
      </c>
      <c r="B55" s="5"/>
      <c r="C55" s="5"/>
      <c r="D55" s="5"/>
      <c r="E55" s="125"/>
      <c r="F55" s="124" t="e">
        <f t="shared" si="2"/>
        <v>#DIV/0!</v>
      </c>
      <c r="G55" s="206">
        <f>9.07/1000000</f>
        <v>9.0699999999999996E-6</v>
      </c>
      <c r="J55" s="123"/>
    </row>
    <row r="56" spans="1:10" s="57" customFormat="1" ht="15.75" thickBot="1" x14ac:dyDescent="0.3">
      <c r="A56" s="5" t="s">
        <v>66</v>
      </c>
      <c r="B56" s="5"/>
      <c r="C56" s="5"/>
      <c r="D56" s="5"/>
      <c r="E56" s="125"/>
      <c r="F56" s="124" t="e">
        <f t="shared" si="2"/>
        <v>#DIV/0!</v>
      </c>
      <c r="G56" s="206">
        <f>1.19/100000</f>
        <v>1.19E-5</v>
      </c>
      <c r="J56" s="123"/>
    </row>
    <row r="57" spans="1:10" s="57" customFormat="1" ht="15.75" thickBot="1" x14ac:dyDescent="0.3">
      <c r="A57" s="127" t="s">
        <v>119</v>
      </c>
      <c r="B57" s="120">
        <f>SUM(B58:B64)</f>
        <v>0</v>
      </c>
      <c r="C57" s="120">
        <f>SUM(C58:C64)</f>
        <v>0</v>
      </c>
      <c r="D57" s="120">
        <f>SUM(D58:D64)</f>
        <v>0</v>
      </c>
      <c r="E57" s="120">
        <f t="shared" si="3"/>
        <v>0</v>
      </c>
      <c r="F57" s="121" t="e">
        <f t="shared" si="2"/>
        <v>#DIV/0!</v>
      </c>
      <c r="G57" s="64" t="s">
        <v>425</v>
      </c>
      <c r="J57" s="126"/>
    </row>
    <row r="58" spans="1:10" s="57" customFormat="1" ht="15.75" thickBot="1" x14ac:dyDescent="0.3">
      <c r="A58" s="5" t="s">
        <v>67</v>
      </c>
      <c r="B58" s="5"/>
      <c r="C58" s="5"/>
      <c r="D58" s="5"/>
      <c r="E58" s="125"/>
      <c r="F58" s="124" t="e">
        <f t="shared" si="2"/>
        <v>#DIV/0!</v>
      </c>
      <c r="G58" s="206">
        <f>1.55/100000</f>
        <v>1.5500000000000001E-5</v>
      </c>
      <c r="J58" s="123"/>
    </row>
    <row r="59" spans="1:10" s="57" customFormat="1" ht="15.75" thickBot="1" x14ac:dyDescent="0.3">
      <c r="A59" s="5" t="s">
        <v>68</v>
      </c>
      <c r="B59" s="5"/>
      <c r="C59" s="5"/>
      <c r="D59" s="5"/>
      <c r="E59" s="125"/>
      <c r="F59" s="124" t="e">
        <f t="shared" si="2"/>
        <v>#DIV/0!</v>
      </c>
      <c r="G59" s="206">
        <f>1.2/100000</f>
        <v>1.2E-5</v>
      </c>
      <c r="J59" s="123"/>
    </row>
    <row r="60" spans="1:10" s="57" customFormat="1" ht="26.25" thickBot="1" x14ac:dyDescent="0.3">
      <c r="A60" s="5" t="s">
        <v>69</v>
      </c>
      <c r="B60" s="5"/>
      <c r="C60" s="5"/>
      <c r="D60" s="5"/>
      <c r="E60" s="125"/>
      <c r="F60" s="124" t="e">
        <f t="shared" si="2"/>
        <v>#DIV/0!</v>
      </c>
      <c r="G60" s="206">
        <f>1.31/100000</f>
        <v>1.31E-5</v>
      </c>
      <c r="J60" s="123"/>
    </row>
    <row r="61" spans="1:10" s="57" customFormat="1" ht="26.25" thickBot="1" x14ac:dyDescent="0.3">
      <c r="A61" s="5" t="s">
        <v>70</v>
      </c>
      <c r="B61" s="5"/>
      <c r="C61" s="5"/>
      <c r="D61" s="5"/>
      <c r="E61" s="125"/>
      <c r="F61" s="124" t="e">
        <f t="shared" si="2"/>
        <v>#DIV/0!</v>
      </c>
      <c r="G61" s="206">
        <f>1.13/100000</f>
        <v>1.1299999999999999E-5</v>
      </c>
      <c r="J61" s="123"/>
    </row>
    <row r="62" spans="1:10" s="57" customFormat="1" ht="26.25" thickBot="1" x14ac:dyDescent="0.3">
      <c r="A62" s="5" t="s">
        <v>71</v>
      </c>
      <c r="B62" s="5"/>
      <c r="C62" s="5"/>
      <c r="D62" s="5"/>
      <c r="E62" s="125"/>
      <c r="F62" s="124" t="e">
        <f t="shared" si="2"/>
        <v>#DIV/0!</v>
      </c>
      <c r="G62" s="206">
        <f>4.01/100000</f>
        <v>4.0099999999999999E-5</v>
      </c>
      <c r="J62" s="123"/>
    </row>
    <row r="63" spans="1:10" s="57" customFormat="1" ht="15.75" thickBot="1" x14ac:dyDescent="0.3">
      <c r="A63" s="5" t="s">
        <v>72</v>
      </c>
      <c r="B63" s="5"/>
      <c r="C63" s="5"/>
      <c r="D63" s="5"/>
      <c r="E63" s="125"/>
      <c r="F63" s="124" t="e">
        <f t="shared" si="2"/>
        <v>#DIV/0!</v>
      </c>
      <c r="G63" s="206">
        <f>2.56/100000</f>
        <v>2.5599999999999999E-5</v>
      </c>
      <c r="J63" s="123"/>
    </row>
    <row r="64" spans="1:10" s="57" customFormat="1" ht="15.75" thickBot="1" x14ac:dyDescent="0.3">
      <c r="A64" s="5" t="s">
        <v>73</v>
      </c>
      <c r="B64" s="5"/>
      <c r="C64" s="5"/>
      <c r="D64" s="5"/>
      <c r="E64" s="125"/>
      <c r="F64" s="124" t="e">
        <f t="shared" si="2"/>
        <v>#DIV/0!</v>
      </c>
      <c r="G64" s="206">
        <f>1.07/100000</f>
        <v>1.0700000000000001E-5</v>
      </c>
      <c r="J64" s="123"/>
    </row>
    <row r="65" spans="1:10" s="57" customFormat="1" ht="15.75" thickBot="1" x14ac:dyDescent="0.3">
      <c r="A65" s="127" t="s">
        <v>120</v>
      </c>
      <c r="B65" s="120">
        <f>SUM(B66:B76)</f>
        <v>0</v>
      </c>
      <c r="C65" s="120">
        <f>SUM(C66:C76)</f>
        <v>0</v>
      </c>
      <c r="D65" s="120">
        <f>SUM(D66:D76)</f>
        <v>0</v>
      </c>
      <c r="E65" s="120">
        <f t="shared" si="3"/>
        <v>0</v>
      </c>
      <c r="F65" s="121" t="e">
        <f t="shared" si="2"/>
        <v>#DIV/0!</v>
      </c>
      <c r="G65" s="64" t="s">
        <v>425</v>
      </c>
      <c r="J65" s="126"/>
    </row>
    <row r="66" spans="1:10" s="57" customFormat="1" ht="15.75" thickBot="1" x14ac:dyDescent="0.3">
      <c r="A66" s="5" t="s">
        <v>74</v>
      </c>
      <c r="B66" s="5"/>
      <c r="C66" s="5"/>
      <c r="D66" s="5"/>
      <c r="E66" s="125"/>
      <c r="F66" s="124" t="e">
        <f t="shared" si="2"/>
        <v>#DIV/0!</v>
      </c>
      <c r="G66" s="206">
        <f>1.86/100000</f>
        <v>1.8600000000000001E-5</v>
      </c>
      <c r="J66" s="123"/>
    </row>
    <row r="67" spans="1:10" s="57" customFormat="1" ht="15.75" thickBot="1" x14ac:dyDescent="0.3">
      <c r="A67" s="5" t="s">
        <v>75</v>
      </c>
      <c r="B67" s="5"/>
      <c r="C67" s="5"/>
      <c r="D67" s="5"/>
      <c r="E67" s="125"/>
      <c r="F67" s="124" t="e">
        <f t="shared" ref="F67:F101" si="4">E67/J67</f>
        <v>#DIV/0!</v>
      </c>
      <c r="G67" s="206">
        <f>2.44/100000</f>
        <v>2.44E-5</v>
      </c>
      <c r="J67" s="123"/>
    </row>
    <row r="68" spans="1:10" s="57" customFormat="1" ht="15.75" thickBot="1" x14ac:dyDescent="0.3">
      <c r="A68" s="5" t="s">
        <v>76</v>
      </c>
      <c r="B68" s="5"/>
      <c r="C68" s="5"/>
      <c r="D68" s="5"/>
      <c r="E68" s="125"/>
      <c r="F68" s="124" t="e">
        <f t="shared" si="4"/>
        <v>#DIV/0!</v>
      </c>
      <c r="G68" s="206">
        <f>1.82/100000</f>
        <v>1.8200000000000002E-5</v>
      </c>
      <c r="J68" s="123"/>
    </row>
    <row r="69" spans="1:10" s="57" customFormat="1" ht="15.75" thickBot="1" x14ac:dyDescent="0.3">
      <c r="A69" s="5" t="s">
        <v>77</v>
      </c>
      <c r="B69" s="5"/>
      <c r="C69" s="5"/>
      <c r="D69" s="5"/>
      <c r="E69" s="125"/>
      <c r="F69" s="124" t="e">
        <f t="shared" si="4"/>
        <v>#DIV/0!</v>
      </c>
      <c r="G69" s="206">
        <f>1.9/100000</f>
        <v>1.8999999999999998E-5</v>
      </c>
      <c r="J69" s="123"/>
    </row>
    <row r="70" spans="1:10" s="57" customFormat="1" ht="15.75" thickBot="1" x14ac:dyDescent="0.3">
      <c r="A70" s="5" t="s">
        <v>78</v>
      </c>
      <c r="B70" s="5"/>
      <c r="C70" s="5"/>
      <c r="D70" s="5"/>
      <c r="E70" s="125"/>
      <c r="F70" s="124" t="e">
        <f t="shared" si="4"/>
        <v>#DIV/0!</v>
      </c>
      <c r="G70" s="206">
        <f>1.43/100000</f>
        <v>1.4299999999999999E-5</v>
      </c>
      <c r="J70" s="123"/>
    </row>
    <row r="71" spans="1:10" s="57" customFormat="1" ht="15.75" thickBot="1" x14ac:dyDescent="0.3">
      <c r="A71" s="5" t="s">
        <v>79</v>
      </c>
      <c r="B71" s="5"/>
      <c r="C71" s="5"/>
      <c r="D71" s="5"/>
      <c r="E71" s="125"/>
      <c r="F71" s="124" t="e">
        <f t="shared" si="4"/>
        <v>#DIV/0!</v>
      </c>
      <c r="G71" s="206">
        <f>2.78/100000</f>
        <v>2.7799999999999998E-5</v>
      </c>
      <c r="J71" s="123"/>
    </row>
    <row r="72" spans="1:10" s="57" customFormat="1" ht="15.75" thickBot="1" x14ac:dyDescent="0.3">
      <c r="A72" s="5" t="s">
        <v>80</v>
      </c>
      <c r="B72" s="5"/>
      <c r="C72" s="5"/>
      <c r="D72" s="5"/>
      <c r="E72" s="125"/>
      <c r="F72" s="124" t="e">
        <f t="shared" si="4"/>
        <v>#DIV/0!</v>
      </c>
      <c r="G72" s="206">
        <f>9.07/1000000</f>
        <v>9.0699999999999996E-6</v>
      </c>
      <c r="J72" s="123"/>
    </row>
    <row r="73" spans="1:10" s="57" customFormat="1" ht="15.75" thickBot="1" x14ac:dyDescent="0.3">
      <c r="A73" s="5" t="s">
        <v>81</v>
      </c>
      <c r="B73" s="5"/>
      <c r="C73" s="5"/>
      <c r="D73" s="5"/>
      <c r="E73" s="125"/>
      <c r="F73" s="124" t="e">
        <f t="shared" si="4"/>
        <v>#DIV/0!</v>
      </c>
      <c r="G73" s="206">
        <f>3.17/100000</f>
        <v>3.1699999999999998E-5</v>
      </c>
      <c r="J73" s="123"/>
    </row>
    <row r="74" spans="1:10" s="57" customFormat="1" ht="15.75" thickBot="1" x14ac:dyDescent="0.3">
      <c r="A74" s="5" t="s">
        <v>82</v>
      </c>
      <c r="B74" s="5"/>
      <c r="C74" s="5"/>
      <c r="D74" s="5"/>
      <c r="E74" s="125"/>
      <c r="F74" s="124" t="e">
        <f t="shared" si="4"/>
        <v>#DIV/0!</v>
      </c>
      <c r="G74" s="206">
        <f>3.47/100000</f>
        <v>3.4700000000000003E-5</v>
      </c>
      <c r="J74" s="123"/>
    </row>
    <row r="75" spans="1:10" s="57" customFormat="1" ht="26.25" thickBot="1" x14ac:dyDescent="0.3">
      <c r="A75" s="5" t="s">
        <v>83</v>
      </c>
      <c r="B75" s="5"/>
      <c r="C75" s="5"/>
      <c r="D75" s="5"/>
      <c r="E75" s="125"/>
      <c r="F75" s="124" t="e">
        <f t="shared" si="4"/>
        <v>#DIV/0!</v>
      </c>
      <c r="G75" s="206">
        <f>7.3/100000</f>
        <v>7.2999999999999999E-5</v>
      </c>
      <c r="J75" s="123"/>
    </row>
    <row r="76" spans="1:10" s="57" customFormat="1" ht="15.75" thickBot="1" x14ac:dyDescent="0.3">
      <c r="A76" s="5" t="s">
        <v>84</v>
      </c>
      <c r="B76" s="5"/>
      <c r="C76" s="5"/>
      <c r="D76" s="5"/>
      <c r="E76" s="125"/>
      <c r="F76" s="124" t="e">
        <f t="shared" si="4"/>
        <v>#DIV/0!</v>
      </c>
      <c r="G76" s="206">
        <f>6.26/1000000</f>
        <v>6.2600000000000002E-6</v>
      </c>
      <c r="J76" s="123"/>
    </row>
    <row r="77" spans="1:10" s="57" customFormat="1" ht="15.75" thickBot="1" x14ac:dyDescent="0.3">
      <c r="A77" s="127" t="s">
        <v>121</v>
      </c>
      <c r="B77" s="120">
        <f>SUM(B78:B95)</f>
        <v>0</v>
      </c>
      <c r="C77" s="120">
        <f>SUM(C78:C95)</f>
        <v>0</v>
      </c>
      <c r="D77" s="120">
        <f>SUM(D78:D95)</f>
        <v>0</v>
      </c>
      <c r="E77" s="120">
        <f t="shared" ref="E77:E101" si="5">B77+C77+D77</f>
        <v>0</v>
      </c>
      <c r="F77" s="121" t="e">
        <f t="shared" si="4"/>
        <v>#DIV/0!</v>
      </c>
      <c r="G77" s="64" t="s">
        <v>425</v>
      </c>
      <c r="J77" s="126"/>
    </row>
    <row r="78" spans="1:10" s="57" customFormat="1" ht="15.75" thickBot="1" x14ac:dyDescent="0.3">
      <c r="A78" s="5" t="s">
        <v>85</v>
      </c>
      <c r="B78" s="5"/>
      <c r="C78" s="5"/>
      <c r="D78" s="5"/>
      <c r="E78" s="125"/>
      <c r="F78" s="124" t="e">
        <f t="shared" si="4"/>
        <v>#DIV/0!</v>
      </c>
      <c r="G78" s="206">
        <f>5.32/1000000</f>
        <v>5.3199999999999999E-6</v>
      </c>
      <c r="J78" s="123"/>
    </row>
    <row r="79" spans="1:10" s="57" customFormat="1" ht="15.75" thickBot="1" x14ac:dyDescent="0.3">
      <c r="A79" s="5" t="s">
        <v>86</v>
      </c>
      <c r="B79" s="5"/>
      <c r="C79" s="5"/>
      <c r="D79" s="5"/>
      <c r="E79" s="125"/>
      <c r="F79" s="124" t="e">
        <f t="shared" si="4"/>
        <v>#DIV/0!</v>
      </c>
      <c r="G79" s="206">
        <f>1.09/100000</f>
        <v>1.0900000000000001E-5</v>
      </c>
      <c r="J79" s="123"/>
    </row>
    <row r="80" spans="1:10" s="57" customFormat="1" ht="15.75" thickBot="1" x14ac:dyDescent="0.3">
      <c r="A80" s="5" t="s">
        <v>87</v>
      </c>
      <c r="B80" s="5"/>
      <c r="C80" s="5"/>
      <c r="D80" s="5"/>
      <c r="E80" s="125"/>
      <c r="F80" s="124" t="e">
        <f t="shared" si="4"/>
        <v>#DIV/0!</v>
      </c>
      <c r="G80" s="206">
        <f>1.17/100000</f>
        <v>1.17E-5</v>
      </c>
      <c r="J80" s="123"/>
    </row>
    <row r="81" spans="1:10" s="57" customFormat="1" ht="15.75" thickBot="1" x14ac:dyDescent="0.3">
      <c r="A81" s="5" t="s">
        <v>88</v>
      </c>
      <c r="B81" s="5"/>
      <c r="C81" s="5"/>
      <c r="D81" s="5"/>
      <c r="E81" s="125"/>
      <c r="F81" s="124" t="e">
        <f t="shared" si="4"/>
        <v>#DIV/0!</v>
      </c>
      <c r="G81" s="206">
        <f>5.72/1000000</f>
        <v>5.7199999999999994E-6</v>
      </c>
      <c r="J81" s="123"/>
    </row>
    <row r="82" spans="1:10" s="57" customFormat="1" ht="15.75" thickBot="1" x14ac:dyDescent="0.3">
      <c r="A82" s="5" t="s">
        <v>89</v>
      </c>
      <c r="B82" s="5"/>
      <c r="C82" s="5"/>
      <c r="D82" s="5"/>
      <c r="E82" s="125"/>
      <c r="F82" s="124" t="e">
        <f t="shared" si="4"/>
        <v>#DIV/0!</v>
      </c>
      <c r="G82" s="206">
        <f>1.76/100000</f>
        <v>1.7600000000000001E-5</v>
      </c>
      <c r="J82" s="123"/>
    </row>
    <row r="83" spans="1:10" s="57" customFormat="1" ht="15.75" thickBot="1" x14ac:dyDescent="0.3">
      <c r="A83" s="5" t="s">
        <v>90</v>
      </c>
      <c r="B83" s="5"/>
      <c r="C83" s="5"/>
      <c r="D83" s="5"/>
      <c r="E83" s="125"/>
      <c r="F83" s="124" t="e">
        <f t="shared" si="4"/>
        <v>#DIV/0!</v>
      </c>
      <c r="G83" s="206">
        <f>1.51/100000</f>
        <v>1.5099999999999999E-5</v>
      </c>
      <c r="J83" s="123"/>
    </row>
    <row r="84" spans="1:10" s="57" customFormat="1" ht="15.75" thickBot="1" x14ac:dyDescent="0.3">
      <c r="A84" s="5" t="s">
        <v>91</v>
      </c>
      <c r="B84" s="5"/>
      <c r="C84" s="5"/>
      <c r="D84" s="5"/>
      <c r="E84" s="125"/>
      <c r="F84" s="124" t="e">
        <f t="shared" si="4"/>
        <v>#DIV/0!</v>
      </c>
      <c r="G84" s="206">
        <f>1.4/100000</f>
        <v>1.4E-5</v>
      </c>
      <c r="J84" s="123"/>
    </row>
    <row r="85" spans="1:10" s="57" customFormat="1" ht="15.75" thickBot="1" x14ac:dyDescent="0.3">
      <c r="A85" s="5" t="s">
        <v>92</v>
      </c>
      <c r="B85" s="5"/>
      <c r="C85" s="5"/>
      <c r="D85" s="5"/>
      <c r="E85" s="125"/>
      <c r="F85" s="124" t="e">
        <f t="shared" si="4"/>
        <v>#DIV/0!</v>
      </c>
      <c r="G85" s="206">
        <f>6.92/1000000</f>
        <v>6.9199999999999998E-6</v>
      </c>
      <c r="J85" s="123"/>
    </row>
    <row r="86" spans="1:10" s="57" customFormat="1" ht="15.75" thickBot="1" x14ac:dyDescent="0.3">
      <c r="A86" s="5" t="s">
        <v>93</v>
      </c>
      <c r="B86" s="5"/>
      <c r="C86" s="5"/>
      <c r="D86" s="5"/>
      <c r="E86" s="125"/>
      <c r="F86" s="124" t="e">
        <f t="shared" si="4"/>
        <v>#DIV/0!</v>
      </c>
      <c r="G86" s="206">
        <f>1.02/100000</f>
        <v>1.0200000000000001E-5</v>
      </c>
      <c r="J86" s="123"/>
    </row>
    <row r="87" spans="1:10" s="57" customFormat="1" ht="15.75" thickBot="1" x14ac:dyDescent="0.3">
      <c r="A87" s="5" t="s">
        <v>94</v>
      </c>
      <c r="B87" s="5"/>
      <c r="C87" s="5"/>
      <c r="D87" s="5"/>
      <c r="E87" s="125"/>
      <c r="F87" s="124" t="e">
        <f t="shared" si="4"/>
        <v>#DIV/0!</v>
      </c>
      <c r="G87" s="206">
        <f>1.29/100000</f>
        <v>1.29E-5</v>
      </c>
      <c r="J87" s="123"/>
    </row>
    <row r="88" spans="1:10" s="57" customFormat="1" ht="15.75" thickBot="1" x14ac:dyDescent="0.3">
      <c r="A88" s="5" t="s">
        <v>95</v>
      </c>
      <c r="B88" s="5"/>
      <c r="C88" s="5"/>
      <c r="D88" s="5"/>
      <c r="E88" s="125"/>
      <c r="F88" s="124" t="e">
        <f t="shared" si="4"/>
        <v>#DIV/0!</v>
      </c>
      <c r="G88" s="206">
        <f>1.53/100000</f>
        <v>1.5299999999999999E-5</v>
      </c>
      <c r="J88" s="123"/>
    </row>
    <row r="89" spans="1:10" s="57" customFormat="1" ht="15.75" thickBot="1" x14ac:dyDescent="0.3">
      <c r="A89" s="5" t="s">
        <v>96</v>
      </c>
      <c r="B89" s="5"/>
      <c r="C89" s="5"/>
      <c r="D89" s="5"/>
      <c r="E89" s="125"/>
      <c r="F89" s="124" t="e">
        <f t="shared" si="4"/>
        <v>#DIV/0!</v>
      </c>
      <c r="G89" s="206">
        <f>1.69/100000</f>
        <v>1.6900000000000001E-5</v>
      </c>
      <c r="J89" s="123"/>
    </row>
    <row r="90" spans="1:10" s="57" customFormat="1" ht="15.75" thickBot="1" x14ac:dyDescent="0.3">
      <c r="A90" s="5" t="s">
        <v>97</v>
      </c>
      <c r="B90" s="5"/>
      <c r="C90" s="5"/>
      <c r="D90" s="5"/>
      <c r="E90" s="125"/>
      <c r="F90" s="124" t="e">
        <f t="shared" si="4"/>
        <v>#DIV/0!</v>
      </c>
      <c r="G90" s="206">
        <f>1.31/100000</f>
        <v>1.31E-5</v>
      </c>
      <c r="J90" s="123"/>
    </row>
    <row r="91" spans="1:10" s="57" customFormat="1" ht="15.75" thickBot="1" x14ac:dyDescent="0.3">
      <c r="A91" s="5" t="s">
        <v>98</v>
      </c>
      <c r="B91" s="5"/>
      <c r="C91" s="5"/>
      <c r="D91" s="5"/>
      <c r="E91" s="125"/>
      <c r="F91" s="124" t="e">
        <f t="shared" si="4"/>
        <v>#DIV/0!</v>
      </c>
      <c r="G91" s="206">
        <f>8.15/1000000</f>
        <v>8.1499999999999999E-6</v>
      </c>
      <c r="J91" s="123"/>
    </row>
    <row r="92" spans="1:10" s="57" customFormat="1" ht="15.75" thickBot="1" x14ac:dyDescent="0.3">
      <c r="A92" s="5" t="s">
        <v>99</v>
      </c>
      <c r="B92" s="5"/>
      <c r="C92" s="5"/>
      <c r="D92" s="5"/>
      <c r="E92" s="125"/>
      <c r="F92" s="124" t="e">
        <f t="shared" si="4"/>
        <v>#DIV/0!</v>
      </c>
      <c r="G92" s="206">
        <f>1.82/100000</f>
        <v>1.8200000000000002E-5</v>
      </c>
      <c r="J92" s="123"/>
    </row>
    <row r="93" spans="1:10" s="57" customFormat="1" ht="15.75" thickBot="1" x14ac:dyDescent="0.3">
      <c r="A93" s="5" t="s">
        <v>100</v>
      </c>
      <c r="B93" s="5"/>
      <c r="C93" s="5"/>
      <c r="D93" s="5"/>
      <c r="E93" s="125"/>
      <c r="F93" s="124" t="e">
        <f t="shared" si="4"/>
        <v>#DIV/0!</v>
      </c>
      <c r="G93" s="206">
        <f>1.49/100000</f>
        <v>1.49E-5</v>
      </c>
      <c r="J93" s="123"/>
    </row>
    <row r="94" spans="1:10" s="57" customFormat="1" ht="15.75" thickBot="1" x14ac:dyDescent="0.3">
      <c r="A94" s="5" t="s">
        <v>101</v>
      </c>
      <c r="B94" s="5"/>
      <c r="C94" s="5"/>
      <c r="D94" s="5"/>
      <c r="E94" s="125"/>
      <c r="F94" s="124" t="e">
        <f t="shared" si="4"/>
        <v>#DIV/0!</v>
      </c>
      <c r="G94" s="206">
        <f>1.43/100000</f>
        <v>1.4299999999999999E-5</v>
      </c>
      <c r="J94" s="123"/>
    </row>
    <row r="95" spans="1:10" s="57" customFormat="1" ht="15.75" thickBot="1" x14ac:dyDescent="0.3">
      <c r="A95" s="5" t="s">
        <v>102</v>
      </c>
      <c r="B95" s="5"/>
      <c r="C95" s="5"/>
      <c r="D95" s="5"/>
      <c r="E95" s="125"/>
      <c r="F95" s="124" t="e">
        <f t="shared" si="4"/>
        <v>#DIV/0!</v>
      </c>
      <c r="G95" s="206">
        <f>6.42/1000000</f>
        <v>6.4199999999999995E-6</v>
      </c>
      <c r="J95" s="123"/>
    </row>
    <row r="96" spans="1:10" s="57" customFormat="1" ht="15.75" thickBot="1" x14ac:dyDescent="0.3">
      <c r="A96" s="127"/>
      <c r="B96" s="120">
        <f>SUM(B97:B114)</f>
        <v>0</v>
      </c>
      <c r="C96" s="120">
        <v>0</v>
      </c>
      <c r="D96" s="120">
        <v>0</v>
      </c>
      <c r="E96" s="120">
        <f t="shared" ref="E96" si="6">B96+C96+D96</f>
        <v>0</v>
      </c>
      <c r="F96" s="121">
        <v>0</v>
      </c>
      <c r="G96" s="64" t="s">
        <v>425</v>
      </c>
      <c r="J96" s="123"/>
    </row>
    <row r="97" spans="1:14" s="57" customFormat="1" ht="15.75" thickBot="1" x14ac:dyDescent="0.3">
      <c r="A97" s="10" t="s">
        <v>497</v>
      </c>
      <c r="B97" s="5"/>
      <c r="C97" s="5"/>
      <c r="D97" s="5"/>
      <c r="E97" s="125"/>
      <c r="F97" s="124">
        <v>0</v>
      </c>
      <c r="G97" s="206">
        <f>5.32/1000000</f>
        <v>5.3199999999999999E-6</v>
      </c>
      <c r="J97" s="123"/>
    </row>
    <row r="98" spans="1:14" s="57" customFormat="1" ht="15.75" thickBot="1" x14ac:dyDescent="0.3">
      <c r="A98" s="10" t="s">
        <v>498</v>
      </c>
      <c r="B98" s="5"/>
      <c r="C98" s="5"/>
      <c r="D98" s="5"/>
      <c r="E98" s="125"/>
      <c r="F98" s="124">
        <v>0</v>
      </c>
      <c r="G98" s="206">
        <f t="shared" ref="G98:G100" si="7">5.32/1000000</f>
        <v>5.3199999999999999E-6</v>
      </c>
      <c r="J98" s="123"/>
    </row>
    <row r="99" spans="1:14" s="57" customFormat="1" ht="15.75" thickBot="1" x14ac:dyDescent="0.3">
      <c r="A99" s="10" t="s">
        <v>499</v>
      </c>
      <c r="B99" s="5"/>
      <c r="C99" s="5"/>
      <c r="D99" s="5"/>
      <c r="E99" s="125"/>
      <c r="F99" s="124">
        <v>0</v>
      </c>
      <c r="G99" s="206">
        <f t="shared" si="7"/>
        <v>5.3199999999999999E-6</v>
      </c>
      <c r="J99" s="123"/>
    </row>
    <row r="100" spans="1:14" s="57" customFormat="1" ht="15.75" thickBot="1" x14ac:dyDescent="0.3">
      <c r="A100" s="10" t="s">
        <v>500</v>
      </c>
      <c r="B100" s="5"/>
      <c r="C100" s="5"/>
      <c r="D100" s="5"/>
      <c r="E100" s="125"/>
      <c r="F100" s="124">
        <v>0</v>
      </c>
      <c r="G100" s="206">
        <f t="shared" si="7"/>
        <v>5.3199999999999999E-6</v>
      </c>
      <c r="J100" s="123"/>
    </row>
    <row r="101" spans="1:14" s="57" customFormat="1" ht="25.5" customHeight="1" thickBot="1" x14ac:dyDescent="0.3">
      <c r="A101" s="122" t="s">
        <v>246</v>
      </c>
      <c r="B101" s="122">
        <f>B3+B15+B26+B33+B48+B57+B65+B77</f>
        <v>0</v>
      </c>
      <c r="C101" s="122">
        <v>0</v>
      </c>
      <c r="D101" s="122">
        <v>0</v>
      </c>
      <c r="E101" s="120">
        <f t="shared" si="5"/>
        <v>0</v>
      </c>
      <c r="F101" s="121" t="e">
        <f t="shared" si="4"/>
        <v>#DIV/0!</v>
      </c>
      <c r="G101" s="120">
        <f>SUM(G77,G65,G57,G48,G33,G26,G15,G3)</f>
        <v>0</v>
      </c>
      <c r="J101" s="119"/>
      <c r="L101" s="118" t="e">
        <f>199/J101</f>
        <v>#DIV/0!</v>
      </c>
      <c r="N101" s="118"/>
    </row>
    <row r="102" spans="1:14" x14ac:dyDescent="0.25">
      <c r="G102" s="57"/>
      <c r="L102" s="118" t="e">
        <f>7718/J101</f>
        <v>#DIV/0!</v>
      </c>
      <c r="N102" s="118"/>
    </row>
    <row r="103" spans="1:14" x14ac:dyDescent="0.25">
      <c r="G103" s="57"/>
      <c r="L103" s="118" t="e">
        <f>3189/J101</f>
        <v>#DIV/0!</v>
      </c>
      <c r="N103" s="118"/>
    </row>
    <row r="104" spans="1:14" x14ac:dyDescent="0.25">
      <c r="G104" s="57"/>
      <c r="L104" s="118" t="e">
        <f>11106/J101</f>
        <v>#DIV/0!</v>
      </c>
      <c r="N104" s="118"/>
    </row>
    <row r="105" spans="1:14" x14ac:dyDescent="0.25">
      <c r="G105" s="57"/>
    </row>
    <row r="106" spans="1:14" x14ac:dyDescent="0.25">
      <c r="G106" s="57"/>
    </row>
    <row r="107" spans="1:14" x14ac:dyDescent="0.25">
      <c r="G107" s="57"/>
    </row>
    <row r="108" spans="1:14" x14ac:dyDescent="0.25">
      <c r="G108" s="57"/>
    </row>
  </sheetData>
  <mergeCells count="2">
    <mergeCell ref="A1:A2"/>
    <mergeCell ref="B1:E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6"/>
  <sheetViews>
    <sheetView zoomScale="80" zoomScaleNormal="80" workbookViewId="0">
      <selection activeCell="W16" sqref="C16:W16"/>
    </sheetView>
  </sheetViews>
  <sheetFormatPr defaultRowHeight="15" x14ac:dyDescent="0.25"/>
  <cols>
    <col min="1" max="1" width="8.85546875" customWidth="1"/>
    <col min="2" max="2" width="36.5703125" customWidth="1"/>
  </cols>
  <sheetData>
    <row r="1" spans="2:23" s="57" customFormat="1" ht="15.75" customHeight="1" x14ac:dyDescent="0.25"/>
    <row r="2" spans="2:23" s="57" customFormat="1" ht="30.75" customHeight="1" x14ac:dyDescent="0.25"/>
    <row r="3" spans="2:23" s="57" customFormat="1" x14ac:dyDescent="0.25"/>
    <row r="4" spans="2:23" s="57" customFormat="1" x14ac:dyDescent="0.25"/>
    <row r="5" spans="2:23" s="57" customFormat="1" x14ac:dyDescent="0.25"/>
    <row r="6" spans="2:23" s="57" customFormat="1" x14ac:dyDescent="0.25"/>
    <row r="7" spans="2:23" s="57" customFormat="1" x14ac:dyDescent="0.25"/>
    <row r="8" spans="2:23" s="57" customFormat="1" x14ac:dyDescent="0.25"/>
    <row r="9" spans="2:23" s="57" customFormat="1" x14ac:dyDescent="0.25"/>
    <row r="10" spans="2:23" s="57" customFormat="1" x14ac:dyDescent="0.25"/>
    <row r="11" spans="2:23" s="57" customFormat="1" x14ac:dyDescent="0.25"/>
    <row r="12" spans="2:23" s="57" customFormat="1" x14ac:dyDescent="0.25"/>
    <row r="13" spans="2:23" s="57" customFormat="1" x14ac:dyDescent="0.25"/>
    <row r="14" spans="2:23" s="57" customFormat="1" x14ac:dyDescent="0.25"/>
    <row r="15" spans="2:23" s="57" customFormat="1" x14ac:dyDescent="0.25"/>
    <row r="16" spans="2:23" s="57" customFormat="1" x14ac:dyDescent="0.25">
      <c r="B16" s="200" t="s">
        <v>441</v>
      </c>
      <c r="C16" s="210" t="s">
        <v>649</v>
      </c>
      <c r="D16" s="210" t="s">
        <v>650</v>
      </c>
      <c r="E16" s="210" t="s">
        <v>651</v>
      </c>
      <c r="F16" s="210" t="s">
        <v>652</v>
      </c>
      <c r="G16" s="210" t="s">
        <v>653</v>
      </c>
      <c r="H16" s="210" t="s">
        <v>654</v>
      </c>
      <c r="I16" s="210" t="s">
        <v>655</v>
      </c>
      <c r="J16" s="210" t="s">
        <v>656</v>
      </c>
      <c r="K16" s="210" t="s">
        <v>657</v>
      </c>
      <c r="L16" s="210" t="s">
        <v>658</v>
      </c>
      <c r="M16" s="210" t="s">
        <v>659</v>
      </c>
      <c r="N16" s="210" t="s">
        <v>660</v>
      </c>
      <c r="O16" s="210" t="s">
        <v>661</v>
      </c>
      <c r="P16" s="210" t="s">
        <v>662</v>
      </c>
      <c r="Q16" s="210" t="s">
        <v>663</v>
      </c>
      <c r="R16" s="210" t="s">
        <v>664</v>
      </c>
      <c r="S16" s="210" t="s">
        <v>665</v>
      </c>
      <c r="T16" s="210" t="s">
        <v>666</v>
      </c>
      <c r="U16" s="210" t="s">
        <v>124</v>
      </c>
      <c r="V16" s="210" t="s">
        <v>227</v>
      </c>
      <c r="W16" s="210" t="s">
        <v>575</v>
      </c>
    </row>
    <row r="17" spans="2:23" s="57" customFormat="1" x14ac:dyDescent="0.25">
      <c r="B17" s="104" t="s">
        <v>618</v>
      </c>
      <c r="C17" s="135">
        <v>1</v>
      </c>
      <c r="D17" s="135">
        <v>0.95</v>
      </c>
      <c r="E17" s="135">
        <v>0.92</v>
      </c>
      <c r="F17" s="135">
        <v>0.85</v>
      </c>
      <c r="G17" s="135">
        <v>0.82</v>
      </c>
      <c r="H17" s="135">
        <v>0.76</v>
      </c>
      <c r="I17" s="135">
        <v>0.71</v>
      </c>
      <c r="J17" s="135">
        <v>0.64</v>
      </c>
      <c r="K17" s="135">
        <v>0.61</v>
      </c>
      <c r="L17" s="135">
        <v>0.56999999999999995</v>
      </c>
      <c r="M17" s="135">
        <v>0.54</v>
      </c>
      <c r="N17" s="135">
        <v>0.47</v>
      </c>
      <c r="O17" s="135">
        <v>0.45</v>
      </c>
      <c r="P17" s="135">
        <v>0.38</v>
      </c>
      <c r="Q17" s="135">
        <v>0.4</v>
      </c>
      <c r="R17" s="135">
        <v>0.44</v>
      </c>
      <c r="S17" s="135">
        <v>0.43</v>
      </c>
      <c r="T17" s="135">
        <v>0.6</v>
      </c>
      <c r="U17" s="135">
        <v>0.52</v>
      </c>
      <c r="V17" s="135">
        <v>0.38</v>
      </c>
      <c r="W17" s="214"/>
    </row>
    <row r="18" spans="2:23" s="57" customFormat="1" x14ac:dyDescent="0.25">
      <c r="B18" s="104" t="s">
        <v>619</v>
      </c>
      <c r="C18" s="135">
        <v>1</v>
      </c>
      <c r="D18" s="135">
        <v>0.72</v>
      </c>
      <c r="E18" s="135">
        <v>1.3</v>
      </c>
      <c r="F18" s="135">
        <v>0.75</v>
      </c>
      <c r="G18" s="135">
        <v>0.63</v>
      </c>
      <c r="H18" s="135">
        <v>0.6</v>
      </c>
      <c r="I18" s="135">
        <v>0.54</v>
      </c>
      <c r="J18" s="135">
        <v>0.63</v>
      </c>
      <c r="K18" s="135">
        <v>0.64</v>
      </c>
      <c r="L18" s="135">
        <v>0.49</v>
      </c>
      <c r="M18" s="135">
        <v>0.44</v>
      </c>
      <c r="N18" s="135">
        <v>0.51</v>
      </c>
      <c r="O18" s="135">
        <v>0.6</v>
      </c>
      <c r="P18" s="135">
        <v>0.44</v>
      </c>
      <c r="Q18" s="135">
        <v>0.63</v>
      </c>
      <c r="R18" s="135">
        <v>0.39</v>
      </c>
      <c r="S18" s="135">
        <v>0.23</v>
      </c>
      <c r="T18" s="135">
        <v>0.28000000000000003</v>
      </c>
      <c r="U18" s="135">
        <v>0.13</v>
      </c>
      <c r="V18" s="135">
        <v>0.19</v>
      </c>
      <c r="W18" s="214"/>
    </row>
    <row r="19" spans="2:23" s="57" customFormat="1" x14ac:dyDescent="0.25">
      <c r="B19" s="104" t="s">
        <v>620</v>
      </c>
      <c r="C19" s="135">
        <v>1</v>
      </c>
      <c r="D19" s="135">
        <v>0.93</v>
      </c>
      <c r="E19" s="135">
        <v>0.67</v>
      </c>
      <c r="F19" s="135">
        <v>0.65</v>
      </c>
      <c r="G19" s="135">
        <v>0.57999999999999996</v>
      </c>
      <c r="H19" s="135">
        <v>0.6</v>
      </c>
      <c r="I19" s="135">
        <v>0.67</v>
      </c>
      <c r="J19" s="135">
        <v>0.53</v>
      </c>
      <c r="K19" s="135">
        <v>0.49</v>
      </c>
      <c r="L19" s="135">
        <v>0.45</v>
      </c>
      <c r="M19" s="135">
        <v>0.44</v>
      </c>
      <c r="N19" s="135">
        <v>0.4</v>
      </c>
      <c r="O19" s="135">
        <v>0.37</v>
      </c>
      <c r="P19" s="135">
        <v>0.31</v>
      </c>
      <c r="Q19" s="135">
        <v>0.32</v>
      </c>
      <c r="R19" s="135">
        <v>0.25</v>
      </c>
      <c r="S19" s="135">
        <v>0.26</v>
      </c>
      <c r="T19" s="135">
        <v>0.28999999999999998</v>
      </c>
      <c r="U19" s="135">
        <v>0.21</v>
      </c>
      <c r="V19" s="135">
        <v>0.25</v>
      </c>
      <c r="W19" s="214"/>
    </row>
    <row r="20" spans="2:23" s="57" customFormat="1" x14ac:dyDescent="0.25">
      <c r="B20" s="104" t="s">
        <v>621</v>
      </c>
      <c r="C20" s="135">
        <v>1</v>
      </c>
      <c r="D20" s="135">
        <v>0.9</v>
      </c>
      <c r="E20" s="135">
        <v>0.97</v>
      </c>
      <c r="F20" s="135">
        <v>0.75</v>
      </c>
      <c r="G20" s="135">
        <v>0.7</v>
      </c>
      <c r="H20" s="135">
        <v>0.69</v>
      </c>
      <c r="I20" s="135">
        <v>0.69</v>
      </c>
      <c r="J20" s="135">
        <v>0.68</v>
      </c>
      <c r="K20" s="135">
        <v>0.67</v>
      </c>
      <c r="L20" s="135">
        <v>0.6</v>
      </c>
      <c r="M20" s="135">
        <v>0.6</v>
      </c>
      <c r="N20" s="135">
        <v>0.6</v>
      </c>
      <c r="O20" s="135">
        <v>0.63</v>
      </c>
      <c r="P20" s="135">
        <v>0.4</v>
      </c>
      <c r="Q20" s="135">
        <v>0.6</v>
      </c>
      <c r="R20" s="135">
        <v>0.45</v>
      </c>
      <c r="S20" s="135">
        <v>0.35</v>
      </c>
      <c r="T20" s="135">
        <v>0.4</v>
      </c>
      <c r="U20" s="135">
        <v>0.75</v>
      </c>
      <c r="V20" s="135">
        <v>0.33</v>
      </c>
      <c r="W20" s="214"/>
    </row>
    <row r="21" spans="2:23" s="57" customFormat="1" x14ac:dyDescent="0.25"/>
    <row r="22" spans="2:23" s="57" customFormat="1" x14ac:dyDescent="0.25"/>
    <row r="23" spans="2:23" s="57" customFormat="1" x14ac:dyDescent="0.25"/>
    <row r="24" spans="2:23" s="57" customFormat="1" x14ac:dyDescent="0.25"/>
    <row r="25" spans="2:23" s="57" customFormat="1" x14ac:dyDescent="0.25"/>
    <row r="26" spans="2:23" s="57" customFormat="1" x14ac:dyDescent="0.25"/>
    <row r="27" spans="2:23" s="57" customFormat="1" x14ac:dyDescent="0.25"/>
    <row r="28" spans="2:23" s="57" customFormat="1" x14ac:dyDescent="0.25"/>
    <row r="29" spans="2:23" s="57" customFormat="1" x14ac:dyDescent="0.25"/>
    <row r="30" spans="2:23" s="57" customFormat="1" x14ac:dyDescent="0.25"/>
    <row r="31" spans="2:23" s="57" customFormat="1" x14ac:dyDescent="0.25"/>
    <row r="32" spans="2:23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opLeftCell="A55" zoomScale="70" zoomScaleNormal="70" workbookViewId="0">
      <selection activeCell="B92" sqref="B92"/>
    </sheetView>
  </sheetViews>
  <sheetFormatPr defaultRowHeight="15" x14ac:dyDescent="0.25"/>
  <cols>
    <col min="1" max="1" width="46.85546875" customWidth="1"/>
    <col min="2" max="2" width="8.85546875" customWidth="1"/>
    <col min="3" max="3" width="14.140625" customWidth="1"/>
    <col min="5" max="5" width="15.85546875" customWidth="1"/>
    <col min="7" max="7" width="14.28515625" customWidth="1"/>
    <col min="9" max="9" width="14.7109375" customWidth="1"/>
    <col min="10" max="10" width="17.7109375" customWidth="1"/>
  </cols>
  <sheetData>
    <row r="1" spans="1:20" x14ac:dyDescent="0.25">
      <c r="D1" t="s">
        <v>495</v>
      </c>
      <c r="K1" t="s">
        <v>494</v>
      </c>
    </row>
    <row r="4" spans="1:20" x14ac:dyDescent="0.25">
      <c r="A4" s="13"/>
      <c r="B4" s="13"/>
      <c r="D4">
        <v>1</v>
      </c>
    </row>
    <row r="5" spans="1:20" x14ac:dyDescent="0.25">
      <c r="A5" s="200" t="s">
        <v>493</v>
      </c>
      <c r="B5" s="197" t="s">
        <v>575</v>
      </c>
      <c r="D5">
        <v>1</v>
      </c>
    </row>
    <row r="6" spans="1:20" x14ac:dyDescent="0.25">
      <c r="A6" s="88" t="s">
        <v>492</v>
      </c>
      <c r="B6" s="87"/>
      <c r="D6">
        <v>1</v>
      </c>
    </row>
    <row r="7" spans="1:20" x14ac:dyDescent="0.25">
      <c r="A7" s="88" t="s">
        <v>491</v>
      </c>
      <c r="B7" s="87"/>
      <c r="D7">
        <v>1</v>
      </c>
    </row>
    <row r="8" spans="1:20" ht="26.25" x14ac:dyDescent="0.25">
      <c r="A8" s="104" t="s">
        <v>490</v>
      </c>
      <c r="B8" s="87"/>
    </row>
    <row r="9" spans="1:20" x14ac:dyDescent="0.25">
      <c r="A9" s="13"/>
      <c r="B9" s="13"/>
    </row>
    <row r="10" spans="1:20" x14ac:dyDescent="0.25">
      <c r="A10" s="13"/>
      <c r="B10" s="13"/>
    </row>
    <row r="11" spans="1:20" x14ac:dyDescent="0.25">
      <c r="A11" s="13"/>
      <c r="B11" s="13"/>
    </row>
    <row r="12" spans="1:20" x14ac:dyDescent="0.25">
      <c r="A12" s="13"/>
      <c r="B12" s="13"/>
    </row>
    <row r="13" spans="1:20" ht="25.5" x14ac:dyDescent="0.25">
      <c r="A13" s="200" t="s">
        <v>489</v>
      </c>
      <c r="B13" s="197" t="s">
        <v>575</v>
      </c>
    </row>
    <row r="14" spans="1:20" x14ac:dyDescent="0.25">
      <c r="A14" s="88" t="s">
        <v>447</v>
      </c>
      <c r="B14" s="87"/>
      <c r="D14" t="s">
        <v>488</v>
      </c>
    </row>
    <row r="15" spans="1:20" x14ac:dyDescent="0.25">
      <c r="A15" s="88" t="s">
        <v>446</v>
      </c>
      <c r="B15" s="87"/>
      <c r="T15" t="s">
        <v>487</v>
      </c>
    </row>
    <row r="16" spans="1:20" x14ac:dyDescent="0.25">
      <c r="A16" s="88" t="s">
        <v>445</v>
      </c>
      <c r="B16" s="87"/>
    </row>
    <row r="17" spans="1:11" x14ac:dyDescent="0.25">
      <c r="A17" s="13"/>
      <c r="B17" s="13"/>
    </row>
    <row r="18" spans="1:11" ht="25.5" x14ac:dyDescent="0.25">
      <c r="A18" s="200" t="s">
        <v>486</v>
      </c>
      <c r="B18" s="197" t="s">
        <v>575</v>
      </c>
    </row>
    <row r="19" spans="1:11" x14ac:dyDescent="0.25">
      <c r="A19" s="88" t="s">
        <v>447</v>
      </c>
      <c r="B19" s="87"/>
    </row>
    <row r="20" spans="1:11" x14ac:dyDescent="0.25">
      <c r="A20" s="88" t="s">
        <v>446</v>
      </c>
      <c r="B20" s="87"/>
    </row>
    <row r="21" spans="1:11" x14ac:dyDescent="0.25">
      <c r="A21" s="88" t="s">
        <v>445</v>
      </c>
      <c r="B21" s="87"/>
    </row>
    <row r="22" spans="1:11" x14ac:dyDescent="0.25">
      <c r="A22" s="88" t="s">
        <v>443</v>
      </c>
      <c r="B22" s="87"/>
    </row>
    <row r="23" spans="1:11" x14ac:dyDescent="0.25">
      <c r="A23" s="13"/>
      <c r="B23" s="13"/>
    </row>
    <row r="24" spans="1:11" x14ac:dyDescent="0.25">
      <c r="A24" s="13"/>
      <c r="B24" s="13"/>
    </row>
    <row r="25" spans="1:11" x14ac:dyDescent="0.25">
      <c r="A25" s="13"/>
      <c r="B25" s="13"/>
    </row>
    <row r="26" spans="1:11" ht="25.5" x14ac:dyDescent="0.25">
      <c r="A26" s="200" t="s">
        <v>622</v>
      </c>
      <c r="B26" s="197" t="s">
        <v>575</v>
      </c>
    </row>
    <row r="27" spans="1:11" x14ac:dyDescent="0.25">
      <c r="A27" s="88" t="s">
        <v>485</v>
      </c>
      <c r="B27" s="87"/>
    </row>
    <row r="28" spans="1:11" x14ac:dyDescent="0.25">
      <c r="A28" s="88" t="s">
        <v>484</v>
      </c>
      <c r="B28" s="87"/>
      <c r="D28" t="s">
        <v>483</v>
      </c>
      <c r="K28" t="s">
        <v>482</v>
      </c>
    </row>
    <row r="29" spans="1:11" x14ac:dyDescent="0.25">
      <c r="A29" s="88" t="s">
        <v>481</v>
      </c>
      <c r="B29" s="87"/>
    </row>
    <row r="30" spans="1:11" x14ac:dyDescent="0.25">
      <c r="A30" s="88" t="s">
        <v>480</v>
      </c>
      <c r="B30" s="87"/>
    </row>
    <row r="31" spans="1:11" x14ac:dyDescent="0.25">
      <c r="A31" s="88" t="s">
        <v>479</v>
      </c>
      <c r="B31" s="87"/>
    </row>
    <row r="32" spans="1:11" x14ac:dyDescent="0.25">
      <c r="A32" s="88" t="s">
        <v>478</v>
      </c>
      <c r="B32" s="87"/>
    </row>
    <row r="33" spans="1:19" x14ac:dyDescent="0.25">
      <c r="A33" s="88" t="s">
        <v>477</v>
      </c>
      <c r="B33" s="87"/>
    </row>
    <row r="34" spans="1:19" x14ac:dyDescent="0.25">
      <c r="A34" s="88" t="s">
        <v>476</v>
      </c>
      <c r="B34" s="87"/>
    </row>
    <row r="35" spans="1:19" x14ac:dyDescent="0.25">
      <c r="A35" s="88" t="s">
        <v>475</v>
      </c>
      <c r="B35" s="87"/>
    </row>
    <row r="36" spans="1:19" x14ac:dyDescent="0.25">
      <c r="A36" s="13"/>
      <c r="B36" s="13"/>
    </row>
    <row r="37" spans="1:19" x14ac:dyDescent="0.25">
      <c r="A37" s="13"/>
      <c r="B37" s="13"/>
    </row>
    <row r="38" spans="1:19" x14ac:dyDescent="0.25">
      <c r="A38" s="13"/>
      <c r="B38" s="13"/>
    </row>
    <row r="39" spans="1:19" x14ac:dyDescent="0.25">
      <c r="A39" s="13"/>
      <c r="B39" s="13"/>
    </row>
    <row r="40" spans="1:19" ht="25.5" x14ac:dyDescent="0.25">
      <c r="A40" s="200" t="s">
        <v>622</v>
      </c>
      <c r="B40" s="197" t="s">
        <v>575</v>
      </c>
    </row>
    <row r="41" spans="1:19" ht="26.25" x14ac:dyDescent="0.25">
      <c r="A41" s="104" t="s">
        <v>474</v>
      </c>
      <c r="B41" s="87"/>
      <c r="D41" t="s">
        <v>473</v>
      </c>
    </row>
    <row r="42" spans="1:19" ht="26.25" x14ac:dyDescent="0.25">
      <c r="A42" s="104" t="s">
        <v>472</v>
      </c>
      <c r="B42" s="87"/>
      <c r="S42" t="s">
        <v>471</v>
      </c>
    </row>
    <row r="43" spans="1:19" x14ac:dyDescent="0.25">
      <c r="A43" s="88" t="s">
        <v>470</v>
      </c>
      <c r="B43" s="87"/>
    </row>
    <row r="44" spans="1:19" x14ac:dyDescent="0.25">
      <c r="A44" s="13"/>
      <c r="B44" s="13"/>
    </row>
    <row r="45" spans="1:19" ht="25.5" x14ac:dyDescent="0.25">
      <c r="A45" s="200" t="s">
        <v>469</v>
      </c>
      <c r="B45" s="197" t="s">
        <v>575</v>
      </c>
    </row>
    <row r="46" spans="1:19" x14ac:dyDescent="0.25">
      <c r="A46" s="88" t="s">
        <v>468</v>
      </c>
      <c r="B46" s="87"/>
    </row>
    <row r="47" spans="1:19" x14ac:dyDescent="0.25">
      <c r="A47" s="88" t="s">
        <v>467</v>
      </c>
      <c r="B47" s="87"/>
    </row>
    <row r="48" spans="1:19" x14ac:dyDescent="0.25">
      <c r="A48" s="88" t="s">
        <v>466</v>
      </c>
      <c r="B48" s="87"/>
    </row>
    <row r="49" spans="1:19" x14ac:dyDescent="0.25">
      <c r="A49" s="13"/>
      <c r="B49" s="13"/>
    </row>
    <row r="50" spans="1:19" ht="31.5" customHeight="1" x14ac:dyDescent="0.25">
      <c r="A50" s="200" t="s">
        <v>465</v>
      </c>
      <c r="B50" s="197" t="s">
        <v>575</v>
      </c>
    </row>
    <row r="51" spans="1:19" x14ac:dyDescent="0.25">
      <c r="A51" s="88" t="s">
        <v>447</v>
      </c>
      <c r="B51" s="87"/>
    </row>
    <row r="52" spans="1:19" x14ac:dyDescent="0.25">
      <c r="A52" s="88" t="s">
        <v>446</v>
      </c>
      <c r="B52" s="87"/>
    </row>
    <row r="53" spans="1:19" x14ac:dyDescent="0.25">
      <c r="A53" s="88" t="s">
        <v>445</v>
      </c>
      <c r="B53" s="87"/>
    </row>
    <row r="54" spans="1:19" x14ac:dyDescent="0.25">
      <c r="A54" s="13"/>
      <c r="B54" s="13"/>
    </row>
    <row r="55" spans="1:19" ht="38.25" x14ac:dyDescent="0.25">
      <c r="A55" s="200" t="s">
        <v>623</v>
      </c>
      <c r="B55" s="197" t="s">
        <v>575</v>
      </c>
    </row>
    <row r="56" spans="1:19" x14ac:dyDescent="0.25">
      <c r="A56" s="88" t="s">
        <v>447</v>
      </c>
      <c r="B56" s="87"/>
      <c r="D56" t="s">
        <v>464</v>
      </c>
    </row>
    <row r="57" spans="1:19" x14ac:dyDescent="0.25">
      <c r="A57" s="88" t="s">
        <v>446</v>
      </c>
      <c r="B57" s="87"/>
    </row>
    <row r="58" spans="1:19" x14ac:dyDescent="0.25">
      <c r="A58" s="88" t="s">
        <v>445</v>
      </c>
      <c r="B58" s="87"/>
      <c r="S58" t="s">
        <v>463</v>
      </c>
    </row>
    <row r="59" spans="1:19" x14ac:dyDescent="0.25">
      <c r="A59" s="88" t="s">
        <v>443</v>
      </c>
      <c r="B59" s="87"/>
    </row>
    <row r="60" spans="1:19" x14ac:dyDescent="0.25">
      <c r="A60" s="13"/>
      <c r="B60" s="13"/>
    </row>
    <row r="61" spans="1:19" ht="27.75" customHeight="1" x14ac:dyDescent="0.25">
      <c r="A61" s="200" t="s">
        <v>624</v>
      </c>
      <c r="B61" s="197" t="s">
        <v>575</v>
      </c>
    </row>
    <row r="62" spans="1:19" x14ac:dyDescent="0.25">
      <c r="A62" s="88" t="s">
        <v>447</v>
      </c>
      <c r="B62" s="87"/>
    </row>
    <row r="63" spans="1:19" x14ac:dyDescent="0.25">
      <c r="A63" s="88" t="s">
        <v>446</v>
      </c>
      <c r="B63" s="87"/>
    </row>
    <row r="64" spans="1:19" x14ac:dyDescent="0.25">
      <c r="A64" s="88" t="s">
        <v>445</v>
      </c>
      <c r="B64" s="87"/>
    </row>
    <row r="65" spans="1:4" x14ac:dyDescent="0.25">
      <c r="A65" s="88" t="s">
        <v>443</v>
      </c>
      <c r="B65" s="87"/>
    </row>
    <row r="66" spans="1:4" x14ac:dyDescent="0.25">
      <c r="A66" s="13"/>
      <c r="B66" s="13"/>
    </row>
    <row r="67" spans="1:4" ht="29.25" customHeight="1" x14ac:dyDescent="0.25">
      <c r="A67" s="200" t="s">
        <v>625</v>
      </c>
      <c r="B67" s="197" t="s">
        <v>575</v>
      </c>
    </row>
    <row r="68" spans="1:4" x14ac:dyDescent="0.25">
      <c r="A68" s="88" t="s">
        <v>447</v>
      </c>
      <c r="B68" s="87"/>
    </row>
    <row r="69" spans="1:4" x14ac:dyDescent="0.25">
      <c r="A69" s="88" t="s">
        <v>446</v>
      </c>
      <c r="B69" s="87"/>
    </row>
    <row r="70" spans="1:4" x14ac:dyDescent="0.25">
      <c r="A70" s="88" t="s">
        <v>445</v>
      </c>
      <c r="B70" s="87"/>
    </row>
    <row r="71" spans="1:4" x14ac:dyDescent="0.25">
      <c r="A71" s="88" t="s">
        <v>443</v>
      </c>
      <c r="B71" s="87"/>
    </row>
    <row r="72" spans="1:4" x14ac:dyDescent="0.25">
      <c r="A72" s="13"/>
      <c r="B72" s="13"/>
      <c r="D72" t="s">
        <v>461</v>
      </c>
    </row>
    <row r="73" spans="1:4" x14ac:dyDescent="0.25">
      <c r="A73" s="200" t="s">
        <v>462</v>
      </c>
      <c r="B73" s="197" t="s">
        <v>575</v>
      </c>
    </row>
    <row r="74" spans="1:4" x14ac:dyDescent="0.25">
      <c r="A74" s="137" t="s">
        <v>460</v>
      </c>
      <c r="B74" s="87"/>
    </row>
    <row r="75" spans="1:4" x14ac:dyDescent="0.25">
      <c r="A75" s="137" t="s">
        <v>459</v>
      </c>
      <c r="B75" s="87"/>
    </row>
    <row r="76" spans="1:4" x14ac:dyDescent="0.25">
      <c r="A76" s="137" t="s">
        <v>458</v>
      </c>
      <c r="B76" s="87"/>
    </row>
    <row r="77" spans="1:4" x14ac:dyDescent="0.25">
      <c r="A77" s="137" t="s">
        <v>457</v>
      </c>
      <c r="B77" s="87"/>
    </row>
    <row r="78" spans="1:4" x14ac:dyDescent="0.25">
      <c r="A78" s="137" t="s">
        <v>456</v>
      </c>
      <c r="B78" s="87"/>
    </row>
    <row r="79" spans="1:4" x14ac:dyDescent="0.25">
      <c r="A79" s="137" t="s">
        <v>455</v>
      </c>
      <c r="B79" s="87"/>
    </row>
    <row r="80" spans="1:4" x14ac:dyDescent="0.25">
      <c r="A80" s="13"/>
      <c r="B80" s="13"/>
    </row>
    <row r="81" spans="1:19" x14ac:dyDescent="0.25">
      <c r="A81" s="136" t="s">
        <v>454</v>
      </c>
      <c r="B81" s="13"/>
    </row>
    <row r="82" spans="1:19" x14ac:dyDescent="0.25">
      <c r="A82" s="13"/>
      <c r="B82" s="13"/>
    </row>
    <row r="83" spans="1:19" x14ac:dyDescent="0.25">
      <c r="A83" s="13"/>
      <c r="B83" s="13"/>
    </row>
    <row r="84" spans="1:19" x14ac:dyDescent="0.25">
      <c r="A84" s="13"/>
      <c r="B84" s="13"/>
    </row>
    <row r="85" spans="1:19" x14ac:dyDescent="0.25">
      <c r="A85" s="136" t="s">
        <v>453</v>
      </c>
      <c r="B85" s="13"/>
      <c r="D85" t="s">
        <v>502</v>
      </c>
      <c r="S85" t="s">
        <v>444</v>
      </c>
    </row>
    <row r="86" spans="1:19" x14ac:dyDescent="0.25">
      <c r="A86" s="13"/>
      <c r="B86" s="13"/>
    </row>
    <row r="87" spans="1:19" x14ac:dyDescent="0.25">
      <c r="A87" s="200" t="s">
        <v>452</v>
      </c>
      <c r="B87" s="215" t="s">
        <v>575</v>
      </c>
    </row>
    <row r="88" spans="1:19" x14ac:dyDescent="0.25">
      <c r="A88" s="88" t="s">
        <v>451</v>
      </c>
      <c r="B88" s="87"/>
    </row>
    <row r="89" spans="1:19" x14ac:dyDescent="0.25">
      <c r="A89" s="88" t="s">
        <v>450</v>
      </c>
      <c r="B89" s="87"/>
    </row>
    <row r="90" spans="1:19" x14ac:dyDescent="0.25">
      <c r="A90" s="88" t="s">
        <v>449</v>
      </c>
      <c r="B90" s="87"/>
    </row>
    <row r="91" spans="1:19" x14ac:dyDescent="0.25">
      <c r="A91" s="13"/>
      <c r="B91" s="13"/>
    </row>
    <row r="92" spans="1:19" x14ac:dyDescent="0.25">
      <c r="A92" s="200" t="s">
        <v>448</v>
      </c>
      <c r="B92" s="215" t="s">
        <v>575</v>
      </c>
    </row>
    <row r="93" spans="1:19" x14ac:dyDescent="0.25">
      <c r="A93" s="88" t="s">
        <v>447</v>
      </c>
      <c r="B93" s="87"/>
    </row>
    <row r="94" spans="1:19" x14ac:dyDescent="0.25">
      <c r="A94" s="88" t="s">
        <v>446</v>
      </c>
      <c r="B94" s="87"/>
    </row>
    <row r="95" spans="1:19" x14ac:dyDescent="0.25">
      <c r="A95" s="88" t="s">
        <v>445</v>
      </c>
      <c r="B95" s="87"/>
    </row>
    <row r="96" spans="1:19" x14ac:dyDescent="0.25">
      <c r="A96" s="88" t="s">
        <v>443</v>
      </c>
      <c r="B96" s="87"/>
    </row>
    <row r="97" spans="1:20" x14ac:dyDescent="0.25">
      <c r="A97" s="13"/>
      <c r="B97" s="13"/>
    </row>
    <row r="98" spans="1:20" x14ac:dyDescent="0.25">
      <c r="T98" t="s">
        <v>442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0" zoomScaleNormal="70" workbookViewId="0">
      <selection activeCell="T17" sqref="T17"/>
    </sheetView>
  </sheetViews>
  <sheetFormatPr defaultColWidth="9.140625" defaultRowHeight="12.75" x14ac:dyDescent="0.25"/>
  <cols>
    <col min="1" max="1" width="31.42578125" style="16" customWidth="1"/>
    <col min="2" max="4" width="17.140625" style="16" customWidth="1"/>
    <col min="5" max="16384" width="9.140625" style="16"/>
  </cols>
  <sheetData>
    <row r="1" spans="1:4" ht="75" customHeight="1" thickBot="1" x14ac:dyDescent="0.3">
      <c r="A1" s="223" t="s">
        <v>161</v>
      </c>
      <c r="B1" s="220" t="s">
        <v>213</v>
      </c>
      <c r="C1" s="222"/>
      <c r="D1" s="223" t="s">
        <v>162</v>
      </c>
    </row>
    <row r="2" spans="1:4" ht="31.5" customHeight="1" thickBot="1" x14ac:dyDescent="0.3">
      <c r="A2" s="225"/>
      <c r="B2" s="36" t="s">
        <v>124</v>
      </c>
      <c r="C2" s="36" t="s">
        <v>227</v>
      </c>
      <c r="D2" s="225"/>
    </row>
    <row r="3" spans="1:4" ht="23.25" customHeight="1" thickBot="1" x14ac:dyDescent="0.3">
      <c r="A3" s="241" t="s">
        <v>110</v>
      </c>
      <c r="B3" s="241"/>
      <c r="C3" s="241"/>
      <c r="D3" s="241"/>
    </row>
    <row r="4" spans="1:4" ht="13.5" thickBot="1" x14ac:dyDescent="0.3">
      <c r="A4" s="28" t="s">
        <v>126</v>
      </c>
      <c r="B4" s="18">
        <f>SUM(B5:B12)</f>
        <v>81233.172999999995</v>
      </c>
      <c r="C4" s="18">
        <f>SUM(C5:C12)</f>
        <v>0</v>
      </c>
      <c r="D4" s="43">
        <f>(C4-B4)/B4</f>
        <v>-1</v>
      </c>
    </row>
    <row r="5" spans="1:4" ht="13.5" thickBot="1" x14ac:dyDescent="0.3">
      <c r="A5" s="31" t="s">
        <v>127</v>
      </c>
      <c r="B5" s="5">
        <v>0</v>
      </c>
      <c r="C5" s="5">
        <v>0</v>
      </c>
      <c r="D5" s="43" t="e">
        <f t="shared" ref="D5:D39" si="0">(C5-B5)/B5</f>
        <v>#DIV/0!</v>
      </c>
    </row>
    <row r="6" spans="1:4" ht="26.25" thickBot="1" x14ac:dyDescent="0.3">
      <c r="A6" s="31" t="s">
        <v>128</v>
      </c>
      <c r="B6" s="5">
        <v>27985.192999999999</v>
      </c>
      <c r="C6" s="5">
        <v>0</v>
      </c>
      <c r="D6" s="43">
        <f t="shared" si="0"/>
        <v>-1</v>
      </c>
    </row>
    <row r="7" spans="1:4" ht="26.25" thickBot="1" x14ac:dyDescent="0.3">
      <c r="A7" s="31" t="s">
        <v>129</v>
      </c>
      <c r="B7" s="5">
        <v>0</v>
      </c>
      <c r="C7" s="5">
        <v>0</v>
      </c>
      <c r="D7" s="43" t="e">
        <f t="shared" si="0"/>
        <v>#DIV/0!</v>
      </c>
    </row>
    <row r="8" spans="1:4" ht="26.25" thickBot="1" x14ac:dyDescent="0.3">
      <c r="A8" s="31" t="s">
        <v>130</v>
      </c>
      <c r="B8" s="5">
        <v>0</v>
      </c>
      <c r="C8" s="5">
        <v>0</v>
      </c>
      <c r="D8" s="43" t="e">
        <f t="shared" si="0"/>
        <v>#DIV/0!</v>
      </c>
    </row>
    <row r="9" spans="1:4" ht="26.25" thickBot="1" x14ac:dyDescent="0.3">
      <c r="A9" s="31" t="s">
        <v>131</v>
      </c>
      <c r="B9" s="5">
        <v>29855.98</v>
      </c>
      <c r="C9" s="5">
        <v>0</v>
      </c>
      <c r="D9" s="43">
        <f t="shared" si="0"/>
        <v>-1</v>
      </c>
    </row>
    <row r="10" spans="1:4" ht="13.5" thickBot="1" x14ac:dyDescent="0.3">
      <c r="A10" s="31" t="s">
        <v>132</v>
      </c>
      <c r="B10" s="5">
        <v>900</v>
      </c>
      <c r="C10" s="5">
        <v>0</v>
      </c>
      <c r="D10" s="43">
        <f t="shared" si="0"/>
        <v>-1</v>
      </c>
    </row>
    <row r="11" spans="1:4" ht="26.25" thickBot="1" x14ac:dyDescent="0.3">
      <c r="A11" s="31" t="s">
        <v>133</v>
      </c>
      <c r="B11" s="5">
        <v>22492</v>
      </c>
      <c r="C11" s="5">
        <v>0</v>
      </c>
      <c r="D11" s="43">
        <f t="shared" si="0"/>
        <v>-1</v>
      </c>
    </row>
    <row r="12" spans="1:4" ht="64.5" thickBot="1" x14ac:dyDescent="0.3">
      <c r="A12" s="31" t="s">
        <v>134</v>
      </c>
      <c r="B12" s="5">
        <v>0</v>
      </c>
      <c r="C12" s="5">
        <v>0</v>
      </c>
      <c r="D12" s="43" t="e">
        <f t="shared" si="0"/>
        <v>#DIV/0!</v>
      </c>
    </row>
    <row r="13" spans="1:4" ht="51.75" thickBot="1" x14ac:dyDescent="0.3">
      <c r="A13" s="28" t="s">
        <v>135</v>
      </c>
      <c r="B13" s="18">
        <f>SUM(B14:B20)</f>
        <v>346786.65529999998</v>
      </c>
      <c r="C13" s="18">
        <f>SUM(C14:C20)</f>
        <v>0</v>
      </c>
      <c r="D13" s="43">
        <f t="shared" si="0"/>
        <v>-1</v>
      </c>
    </row>
    <row r="14" spans="1:4" ht="77.25" thickBot="1" x14ac:dyDescent="0.3">
      <c r="A14" s="31" t="s">
        <v>136</v>
      </c>
      <c r="B14" s="5">
        <v>185251.9754</v>
      </c>
      <c r="C14" s="5">
        <v>0</v>
      </c>
      <c r="D14" s="43">
        <f t="shared" si="0"/>
        <v>-1</v>
      </c>
    </row>
    <row r="15" spans="1:4" ht="90" thickBot="1" x14ac:dyDescent="0.3">
      <c r="A15" s="31" t="s">
        <v>138</v>
      </c>
      <c r="B15" s="5">
        <v>0</v>
      </c>
      <c r="C15" s="5">
        <v>0</v>
      </c>
      <c r="D15" s="43" t="e">
        <f t="shared" si="0"/>
        <v>#DIV/0!</v>
      </c>
    </row>
    <row r="16" spans="1:4" ht="64.5" thickBot="1" x14ac:dyDescent="0.3">
      <c r="A16" s="31" t="s">
        <v>139</v>
      </c>
      <c r="B16" s="5">
        <v>47500</v>
      </c>
      <c r="C16" s="5">
        <v>0</v>
      </c>
      <c r="D16" s="43">
        <f t="shared" si="0"/>
        <v>-1</v>
      </c>
    </row>
    <row r="17" spans="1:4" ht="77.25" thickBot="1" x14ac:dyDescent="0.3">
      <c r="A17" s="31" t="s">
        <v>140</v>
      </c>
      <c r="B17" s="5">
        <v>0</v>
      </c>
      <c r="C17" s="5">
        <v>0</v>
      </c>
      <c r="D17" s="43" t="e">
        <f t="shared" si="0"/>
        <v>#DIV/0!</v>
      </c>
    </row>
    <row r="18" spans="1:4" ht="64.5" thickBot="1" x14ac:dyDescent="0.3">
      <c r="A18" s="31" t="s">
        <v>141</v>
      </c>
      <c r="B18" s="5">
        <v>0</v>
      </c>
      <c r="C18" s="5">
        <v>0</v>
      </c>
      <c r="D18" s="43" t="e">
        <f t="shared" si="0"/>
        <v>#DIV/0!</v>
      </c>
    </row>
    <row r="19" spans="1:4" ht="39" thickBot="1" x14ac:dyDescent="0.3">
      <c r="A19" s="31" t="s">
        <v>142</v>
      </c>
      <c r="B19" s="5">
        <v>0</v>
      </c>
      <c r="C19" s="5">
        <v>0</v>
      </c>
      <c r="D19" s="43" t="e">
        <f t="shared" si="0"/>
        <v>#DIV/0!</v>
      </c>
    </row>
    <row r="20" spans="1:4" ht="26.25" thickBot="1" x14ac:dyDescent="0.3">
      <c r="A20" s="31" t="s">
        <v>137</v>
      </c>
      <c r="B20" s="5">
        <v>114034.6799</v>
      </c>
      <c r="C20" s="5">
        <v>0</v>
      </c>
      <c r="D20" s="43">
        <f t="shared" si="0"/>
        <v>-1</v>
      </c>
    </row>
    <row r="21" spans="1:4" ht="26.25" thickBot="1" x14ac:dyDescent="0.3">
      <c r="A21" s="28" t="s">
        <v>143</v>
      </c>
      <c r="B21" s="18">
        <f>SUM(B22:B24)</f>
        <v>58034.976999999999</v>
      </c>
      <c r="C21" s="18">
        <f>SUM(C22:C24)</f>
        <v>0</v>
      </c>
      <c r="D21" s="43">
        <f t="shared" si="0"/>
        <v>-1</v>
      </c>
    </row>
    <row r="22" spans="1:4" ht="26.25" thickBot="1" x14ac:dyDescent="0.3">
      <c r="A22" s="31" t="s">
        <v>144</v>
      </c>
      <c r="B22" s="5">
        <v>0</v>
      </c>
      <c r="C22" s="5">
        <v>0</v>
      </c>
      <c r="D22" s="43" t="e">
        <f t="shared" si="0"/>
        <v>#DIV/0!</v>
      </c>
    </row>
    <row r="23" spans="1:4" ht="39" thickBot="1" x14ac:dyDescent="0.3">
      <c r="A23" s="31" t="s">
        <v>146</v>
      </c>
      <c r="B23" s="5">
        <v>58034.976999999999</v>
      </c>
      <c r="C23" s="5">
        <v>0</v>
      </c>
      <c r="D23" s="43">
        <f t="shared" si="0"/>
        <v>-1</v>
      </c>
    </row>
    <row r="24" spans="1:4" ht="26.25" thickBot="1" x14ac:dyDescent="0.3">
      <c r="A24" s="31" t="s">
        <v>145</v>
      </c>
      <c r="B24" s="5">
        <v>0</v>
      </c>
      <c r="C24" s="5">
        <v>0</v>
      </c>
      <c r="D24" s="43" t="e">
        <f t="shared" si="0"/>
        <v>#DIV/0!</v>
      </c>
    </row>
    <row r="25" spans="1:4" ht="26.25" thickBot="1" x14ac:dyDescent="0.3">
      <c r="A25" s="28" t="s">
        <v>147</v>
      </c>
      <c r="B25" s="18">
        <f>SUM(B26:B28)</f>
        <v>0</v>
      </c>
      <c r="C25" s="18">
        <f>SUM(C26:C28)</f>
        <v>0</v>
      </c>
      <c r="D25" s="43" t="e">
        <f t="shared" si="0"/>
        <v>#DIV/0!</v>
      </c>
    </row>
    <row r="26" spans="1:4" ht="51.75" thickBot="1" x14ac:dyDescent="0.3">
      <c r="A26" s="31" t="s">
        <v>149</v>
      </c>
      <c r="B26" s="5">
        <v>0</v>
      </c>
      <c r="C26" s="5">
        <v>0</v>
      </c>
      <c r="D26" s="43" t="e">
        <f t="shared" si="0"/>
        <v>#DIV/0!</v>
      </c>
    </row>
    <row r="27" spans="1:4" ht="64.5" thickBot="1" x14ac:dyDescent="0.3">
      <c r="A27" s="31" t="s">
        <v>150</v>
      </c>
      <c r="B27" s="5">
        <v>0</v>
      </c>
      <c r="C27" s="5">
        <v>0</v>
      </c>
      <c r="D27" s="43" t="e">
        <f t="shared" si="0"/>
        <v>#DIV/0!</v>
      </c>
    </row>
    <row r="28" spans="1:4" ht="26.25" thickBot="1" x14ac:dyDescent="0.3">
      <c r="A28" s="31" t="s">
        <v>148</v>
      </c>
      <c r="B28" s="5">
        <v>0</v>
      </c>
      <c r="C28" s="5">
        <v>0</v>
      </c>
      <c r="D28" s="43" t="e">
        <f t="shared" si="0"/>
        <v>#DIV/0!</v>
      </c>
    </row>
    <row r="29" spans="1:4" ht="26.25" thickBot="1" x14ac:dyDescent="0.3">
      <c r="A29" s="28" t="s">
        <v>151</v>
      </c>
      <c r="B29" s="18">
        <f>SUM(B30)</f>
        <v>110485.929</v>
      </c>
      <c r="C29" s="18">
        <f>SUM(C30)</f>
        <v>0</v>
      </c>
      <c r="D29" s="43">
        <f t="shared" si="0"/>
        <v>-1</v>
      </c>
    </row>
    <row r="30" spans="1:4" ht="102.75" thickBot="1" x14ac:dyDescent="0.3">
      <c r="A30" s="31" t="s">
        <v>152</v>
      </c>
      <c r="B30" s="5">
        <v>110485.929</v>
      </c>
      <c r="C30" s="5">
        <v>0</v>
      </c>
      <c r="D30" s="43">
        <f t="shared" si="0"/>
        <v>-1</v>
      </c>
    </row>
    <row r="31" spans="1:4" ht="64.5" thickBot="1" x14ac:dyDescent="0.3">
      <c r="A31" s="28" t="s">
        <v>153</v>
      </c>
      <c r="B31" s="18">
        <f>SUM(B32:B34)</f>
        <v>0</v>
      </c>
      <c r="C31" s="18">
        <f>SUM(C32:C34)</f>
        <v>0</v>
      </c>
      <c r="D31" s="43" t="e">
        <f t="shared" si="0"/>
        <v>#DIV/0!</v>
      </c>
    </row>
    <row r="32" spans="1:4" ht="128.25" thickBot="1" x14ac:dyDescent="0.3">
      <c r="A32" s="31" t="s">
        <v>154</v>
      </c>
      <c r="B32" s="5">
        <v>0</v>
      </c>
      <c r="C32" s="5">
        <v>0</v>
      </c>
      <c r="D32" s="43" t="e">
        <f t="shared" si="0"/>
        <v>#DIV/0!</v>
      </c>
    </row>
    <row r="33" spans="1:4" ht="128.25" thickBot="1" x14ac:dyDescent="0.3">
      <c r="A33" s="31" t="s">
        <v>155</v>
      </c>
      <c r="B33" s="5">
        <v>0</v>
      </c>
      <c r="C33" s="5">
        <v>0</v>
      </c>
      <c r="D33" s="43" t="e">
        <f t="shared" si="0"/>
        <v>#DIV/0!</v>
      </c>
    </row>
    <row r="34" spans="1:4" ht="64.5" thickBot="1" x14ac:dyDescent="0.3">
      <c r="A34" s="31" t="s">
        <v>156</v>
      </c>
      <c r="B34" s="5">
        <v>0</v>
      </c>
      <c r="C34" s="5">
        <v>0</v>
      </c>
      <c r="D34" s="43" t="e">
        <f t="shared" si="0"/>
        <v>#DIV/0!</v>
      </c>
    </row>
    <row r="35" spans="1:4" ht="39" thickBot="1" x14ac:dyDescent="0.3">
      <c r="A35" s="28" t="s">
        <v>157</v>
      </c>
      <c r="B35" s="18">
        <f>SUM(B36)</f>
        <v>0</v>
      </c>
      <c r="C35" s="18">
        <f>SUM(C36)</f>
        <v>0</v>
      </c>
      <c r="D35" s="43" t="e">
        <f t="shared" si="0"/>
        <v>#DIV/0!</v>
      </c>
    </row>
    <row r="36" spans="1:4" ht="77.25" thickBot="1" x14ac:dyDescent="0.3">
      <c r="A36" s="31" t="s">
        <v>158</v>
      </c>
      <c r="B36" s="5">
        <v>0</v>
      </c>
      <c r="C36" s="5">
        <v>0</v>
      </c>
      <c r="D36" s="43" t="e">
        <f t="shared" si="0"/>
        <v>#DIV/0!</v>
      </c>
    </row>
    <row r="37" spans="1:4" ht="13.5" thickBot="1" x14ac:dyDescent="0.3">
      <c r="A37" s="28" t="s">
        <v>159</v>
      </c>
      <c r="B37" s="18">
        <f>SUM(B38)</f>
        <v>0</v>
      </c>
      <c r="C37" s="18">
        <f>SUM(C38)</f>
        <v>0</v>
      </c>
      <c r="D37" s="43" t="e">
        <f t="shared" si="0"/>
        <v>#DIV/0!</v>
      </c>
    </row>
    <row r="38" spans="1:4" ht="26.25" thickBot="1" x14ac:dyDescent="0.3">
      <c r="A38" s="31" t="s">
        <v>160</v>
      </c>
      <c r="B38" s="5">
        <v>0</v>
      </c>
      <c r="C38" s="5">
        <v>0</v>
      </c>
      <c r="D38" s="43" t="e">
        <f t="shared" si="0"/>
        <v>#DIV/0!</v>
      </c>
    </row>
    <row r="39" spans="1:4" ht="27" customHeight="1" thickBot="1" x14ac:dyDescent="0.3">
      <c r="A39" s="29" t="s">
        <v>13</v>
      </c>
      <c r="B39" s="33">
        <f>SUM(B4,B13,B21,B25,B29,B31,B35,B37)</f>
        <v>596540.73430000001</v>
      </c>
      <c r="C39" s="33">
        <f>SUM(C4,C13,C21,C25,C29,C31,C35,C37)</f>
        <v>0</v>
      </c>
      <c r="D39" s="43">
        <f t="shared" si="0"/>
        <v>-1</v>
      </c>
    </row>
    <row r="40" spans="1:4" ht="26.25" customHeight="1" thickBot="1" x14ac:dyDescent="0.3">
      <c r="A40" s="241" t="s">
        <v>111</v>
      </c>
      <c r="B40" s="241"/>
      <c r="C40" s="241"/>
      <c r="D40" s="241"/>
    </row>
    <row r="41" spans="1:4" ht="13.5" thickBot="1" x14ac:dyDescent="0.3">
      <c r="A41" s="28" t="s">
        <v>163</v>
      </c>
      <c r="B41" s="18">
        <f>SUM(B42:B43)</f>
        <v>0</v>
      </c>
      <c r="C41" s="18">
        <f>SUM(C42:C43)</f>
        <v>0</v>
      </c>
      <c r="D41" s="43" t="e">
        <f t="shared" ref="D41:D87" si="1">(C41-B41)/B41</f>
        <v>#DIV/0!</v>
      </c>
    </row>
    <row r="42" spans="1:4" ht="13.5" thickBot="1" x14ac:dyDescent="0.3">
      <c r="A42" s="31" t="s">
        <v>164</v>
      </c>
      <c r="B42" s="5">
        <v>0</v>
      </c>
      <c r="C42" s="5">
        <v>0</v>
      </c>
      <c r="D42" s="43" t="e">
        <f t="shared" si="1"/>
        <v>#DIV/0!</v>
      </c>
    </row>
    <row r="43" spans="1:4" ht="13.5" thickBot="1" x14ac:dyDescent="0.3">
      <c r="A43" s="31" t="s">
        <v>165</v>
      </c>
      <c r="B43" s="5">
        <v>0</v>
      </c>
      <c r="C43" s="5">
        <v>0</v>
      </c>
      <c r="D43" s="43" t="e">
        <f t="shared" si="1"/>
        <v>#DIV/0!</v>
      </c>
    </row>
    <row r="44" spans="1:4" ht="13.5" thickBot="1" x14ac:dyDescent="0.3">
      <c r="A44" s="28" t="s">
        <v>166</v>
      </c>
      <c r="B44" s="18">
        <f>SUM(B45:B48)</f>
        <v>13845.704</v>
      </c>
      <c r="C44" s="18">
        <f>SUM(C45:C48)</f>
        <v>0</v>
      </c>
      <c r="D44" s="43">
        <f t="shared" ref="D44:D84" si="2">(C44-B44)/B44</f>
        <v>-1</v>
      </c>
    </row>
    <row r="45" spans="1:4" ht="13.5" thickBot="1" x14ac:dyDescent="0.3">
      <c r="A45" s="31" t="s">
        <v>167</v>
      </c>
      <c r="B45" s="5">
        <v>2252.91</v>
      </c>
      <c r="C45" s="5">
        <v>0</v>
      </c>
      <c r="D45" s="43">
        <f t="shared" si="1"/>
        <v>-1</v>
      </c>
    </row>
    <row r="46" spans="1:4" ht="26.25" thickBot="1" x14ac:dyDescent="0.3">
      <c r="A46" s="31" t="s">
        <v>168</v>
      </c>
      <c r="B46" s="5">
        <v>11592.794</v>
      </c>
      <c r="C46" s="5">
        <v>0</v>
      </c>
      <c r="D46" s="43">
        <f t="shared" si="1"/>
        <v>-1</v>
      </c>
    </row>
    <row r="47" spans="1:4" ht="13.5" thickBot="1" x14ac:dyDescent="0.3">
      <c r="A47" s="31" t="s">
        <v>169</v>
      </c>
      <c r="B47" s="5">
        <v>0</v>
      </c>
      <c r="C47" s="5">
        <v>0</v>
      </c>
      <c r="D47" s="43" t="e">
        <f t="shared" si="1"/>
        <v>#DIV/0!</v>
      </c>
    </row>
    <row r="48" spans="1:4" ht="39" thickBot="1" x14ac:dyDescent="0.3">
      <c r="A48" s="31" t="s">
        <v>188</v>
      </c>
      <c r="B48" s="5">
        <v>0</v>
      </c>
      <c r="C48" s="5">
        <v>0</v>
      </c>
      <c r="D48" s="43" t="e">
        <f t="shared" si="2"/>
        <v>#DIV/0!</v>
      </c>
    </row>
    <row r="49" spans="1:4" ht="26.25" thickBot="1" x14ac:dyDescent="0.3">
      <c r="A49" s="28" t="s">
        <v>170</v>
      </c>
      <c r="B49" s="18">
        <f>SUM(B50:B66)</f>
        <v>574730.8443</v>
      </c>
      <c r="C49" s="18">
        <f>SUM(C50:C66)</f>
        <v>0</v>
      </c>
      <c r="D49" s="43">
        <f t="shared" si="1"/>
        <v>-1</v>
      </c>
    </row>
    <row r="50" spans="1:4" ht="26.25" thickBot="1" x14ac:dyDescent="0.3">
      <c r="A50" s="31" t="s">
        <v>187</v>
      </c>
      <c r="B50" s="5">
        <v>136923.23300000001</v>
      </c>
      <c r="C50" s="5">
        <v>0</v>
      </c>
      <c r="D50" s="43">
        <f t="shared" si="1"/>
        <v>-1</v>
      </c>
    </row>
    <row r="51" spans="1:4" ht="26.25" thickBot="1" x14ac:dyDescent="0.3">
      <c r="A51" s="31" t="s">
        <v>186</v>
      </c>
      <c r="B51" s="5">
        <v>0</v>
      </c>
      <c r="C51" s="5">
        <v>0</v>
      </c>
      <c r="D51" s="43" t="e">
        <f t="shared" si="1"/>
        <v>#DIV/0!</v>
      </c>
    </row>
    <row r="52" spans="1:4" ht="13.5" thickBot="1" x14ac:dyDescent="0.3">
      <c r="A52" s="31" t="s">
        <v>171</v>
      </c>
      <c r="B52" s="5">
        <v>0</v>
      </c>
      <c r="C52" s="5">
        <v>0</v>
      </c>
      <c r="D52" s="43" t="e">
        <f t="shared" si="2"/>
        <v>#DIV/0!</v>
      </c>
    </row>
    <row r="53" spans="1:4" ht="13.5" thickBot="1" x14ac:dyDescent="0.3">
      <c r="A53" s="31" t="s">
        <v>172</v>
      </c>
      <c r="B53" s="5">
        <v>3667.8</v>
      </c>
      <c r="C53" s="5">
        <v>0</v>
      </c>
      <c r="D53" s="43">
        <f t="shared" si="1"/>
        <v>-1</v>
      </c>
    </row>
    <row r="54" spans="1:4" ht="13.5" thickBot="1" x14ac:dyDescent="0.3">
      <c r="A54" s="31" t="s">
        <v>173</v>
      </c>
      <c r="B54" s="5">
        <v>0</v>
      </c>
      <c r="C54" s="5">
        <v>0</v>
      </c>
      <c r="D54" s="43" t="e">
        <f t="shared" si="1"/>
        <v>#DIV/0!</v>
      </c>
    </row>
    <row r="55" spans="1:4" ht="13.5" thickBot="1" x14ac:dyDescent="0.3">
      <c r="A55" s="31" t="s">
        <v>174</v>
      </c>
      <c r="B55" s="5">
        <v>0</v>
      </c>
      <c r="C55" s="5">
        <v>0</v>
      </c>
      <c r="D55" s="43" t="e">
        <f t="shared" si="1"/>
        <v>#DIV/0!</v>
      </c>
    </row>
    <row r="56" spans="1:4" ht="13.5" thickBot="1" x14ac:dyDescent="0.3">
      <c r="A56" s="31" t="s">
        <v>175</v>
      </c>
      <c r="B56" s="5">
        <v>16412</v>
      </c>
      <c r="C56" s="5">
        <v>0</v>
      </c>
      <c r="D56" s="43">
        <f t="shared" si="2"/>
        <v>-1</v>
      </c>
    </row>
    <row r="57" spans="1:4" ht="13.5" thickBot="1" x14ac:dyDescent="0.3">
      <c r="A57" s="31" t="s">
        <v>176</v>
      </c>
      <c r="B57" s="5">
        <v>26281.823</v>
      </c>
      <c r="C57" s="5">
        <v>0</v>
      </c>
      <c r="D57" s="43">
        <f t="shared" si="1"/>
        <v>-1</v>
      </c>
    </row>
    <row r="58" spans="1:4" ht="13.5" thickBot="1" x14ac:dyDescent="0.3">
      <c r="A58" s="31" t="s">
        <v>177</v>
      </c>
      <c r="B58" s="5">
        <v>0</v>
      </c>
      <c r="C58" s="5">
        <v>0</v>
      </c>
      <c r="D58" s="43" t="e">
        <f t="shared" si="1"/>
        <v>#DIV/0!</v>
      </c>
    </row>
    <row r="59" spans="1:4" ht="26.25" thickBot="1" x14ac:dyDescent="0.3">
      <c r="A59" s="31" t="s">
        <v>178</v>
      </c>
      <c r="B59" s="5">
        <v>0</v>
      </c>
      <c r="C59" s="5">
        <v>0</v>
      </c>
      <c r="D59" s="43" t="e">
        <f t="shared" si="1"/>
        <v>#DIV/0!</v>
      </c>
    </row>
    <row r="60" spans="1:4" ht="26.25" thickBot="1" x14ac:dyDescent="0.3">
      <c r="A60" s="31" t="s">
        <v>179</v>
      </c>
      <c r="B60" s="5">
        <v>0</v>
      </c>
      <c r="C60" s="5">
        <v>0</v>
      </c>
      <c r="D60" s="43" t="e">
        <f t="shared" si="2"/>
        <v>#DIV/0!</v>
      </c>
    </row>
    <row r="61" spans="1:4" ht="13.5" thickBot="1" x14ac:dyDescent="0.3">
      <c r="A61" s="31" t="s">
        <v>180</v>
      </c>
      <c r="B61" s="5">
        <v>0</v>
      </c>
      <c r="C61" s="5">
        <v>0</v>
      </c>
      <c r="D61" s="43" t="e">
        <f t="shared" si="1"/>
        <v>#DIV/0!</v>
      </c>
    </row>
    <row r="62" spans="1:4" ht="13.5" thickBot="1" x14ac:dyDescent="0.3">
      <c r="A62" s="31" t="s">
        <v>181</v>
      </c>
      <c r="B62" s="5">
        <v>0</v>
      </c>
      <c r="C62" s="5">
        <v>0</v>
      </c>
      <c r="D62" s="43" t="e">
        <f t="shared" si="1"/>
        <v>#DIV/0!</v>
      </c>
    </row>
    <row r="63" spans="1:4" ht="13.5" thickBot="1" x14ac:dyDescent="0.3">
      <c r="A63" s="31" t="s">
        <v>182</v>
      </c>
      <c r="B63" s="5">
        <v>98700</v>
      </c>
      <c r="C63" s="5">
        <v>0</v>
      </c>
      <c r="D63" s="43">
        <f t="shared" si="1"/>
        <v>-1</v>
      </c>
    </row>
    <row r="64" spans="1:4" ht="13.5" thickBot="1" x14ac:dyDescent="0.3">
      <c r="A64" s="31" t="s">
        <v>183</v>
      </c>
      <c r="B64" s="5">
        <v>36581.300000000003</v>
      </c>
      <c r="C64" s="5">
        <v>0</v>
      </c>
      <c r="D64" s="43">
        <f t="shared" si="2"/>
        <v>-1</v>
      </c>
    </row>
    <row r="65" spans="1:4" ht="13.5" thickBot="1" x14ac:dyDescent="0.3">
      <c r="A65" s="31" t="s">
        <v>184</v>
      </c>
      <c r="B65" s="5">
        <v>0</v>
      </c>
      <c r="C65" s="5">
        <v>0</v>
      </c>
      <c r="D65" s="43" t="e">
        <f t="shared" si="1"/>
        <v>#DIV/0!</v>
      </c>
    </row>
    <row r="66" spans="1:4" ht="26.25" thickBot="1" x14ac:dyDescent="0.3">
      <c r="A66" s="31" t="s">
        <v>185</v>
      </c>
      <c r="B66" s="5">
        <v>256164.68830000001</v>
      </c>
      <c r="C66" s="5">
        <v>0</v>
      </c>
      <c r="D66" s="43">
        <f t="shared" si="1"/>
        <v>-1</v>
      </c>
    </row>
    <row r="67" spans="1:4" ht="26.25" thickBot="1" x14ac:dyDescent="0.3">
      <c r="A67" s="28" t="s">
        <v>189</v>
      </c>
      <c r="B67" s="18">
        <f>SUM(B68:B71)</f>
        <v>0</v>
      </c>
      <c r="C67" s="18">
        <f>SUM(C68:C71)</f>
        <v>0</v>
      </c>
      <c r="D67" s="43" t="e">
        <f t="shared" si="1"/>
        <v>#DIV/0!</v>
      </c>
    </row>
    <row r="68" spans="1:4" ht="13.5" thickBot="1" x14ac:dyDescent="0.3">
      <c r="A68" s="31" t="s">
        <v>190</v>
      </c>
      <c r="B68" s="5">
        <v>0</v>
      </c>
      <c r="C68" s="5">
        <v>0</v>
      </c>
      <c r="D68" s="43" t="e">
        <f t="shared" si="2"/>
        <v>#DIV/0!</v>
      </c>
    </row>
    <row r="69" spans="1:4" ht="26.25" thickBot="1" x14ac:dyDescent="0.3">
      <c r="A69" s="31" t="s">
        <v>191</v>
      </c>
      <c r="B69" s="5">
        <v>0</v>
      </c>
      <c r="C69" s="5">
        <v>0</v>
      </c>
      <c r="D69" s="43" t="e">
        <f t="shared" si="1"/>
        <v>#DIV/0!</v>
      </c>
    </row>
    <row r="70" spans="1:4" ht="13.5" thickBot="1" x14ac:dyDescent="0.3">
      <c r="A70" s="31" t="s">
        <v>192</v>
      </c>
      <c r="B70" s="5">
        <v>0</v>
      </c>
      <c r="C70" s="5">
        <v>0</v>
      </c>
      <c r="D70" s="43" t="e">
        <f t="shared" si="1"/>
        <v>#DIV/0!</v>
      </c>
    </row>
    <row r="71" spans="1:4" ht="13.5" thickBot="1" x14ac:dyDescent="0.3">
      <c r="A71" s="31" t="s">
        <v>193</v>
      </c>
      <c r="B71" s="5">
        <v>0</v>
      </c>
      <c r="C71" s="5">
        <v>0</v>
      </c>
      <c r="D71" s="43" t="e">
        <f t="shared" si="1"/>
        <v>#DIV/0!</v>
      </c>
    </row>
    <row r="72" spans="1:4" ht="26.25" thickBot="1" x14ac:dyDescent="0.3">
      <c r="A72" s="28" t="s">
        <v>194</v>
      </c>
      <c r="B72" s="18">
        <f>SUM(B73:B78)</f>
        <v>5610955.5060000001</v>
      </c>
      <c r="C72" s="18">
        <f>SUM(C73:C78)</f>
        <v>0</v>
      </c>
      <c r="D72" s="43">
        <f t="shared" si="2"/>
        <v>-1</v>
      </c>
    </row>
    <row r="73" spans="1:4" ht="39" thickBot="1" x14ac:dyDescent="0.3">
      <c r="A73" s="31" t="s">
        <v>200</v>
      </c>
      <c r="B73" s="5">
        <v>5610955.5060000001</v>
      </c>
      <c r="C73" s="5">
        <v>0</v>
      </c>
      <c r="D73" s="43">
        <f t="shared" si="1"/>
        <v>-1</v>
      </c>
    </row>
    <row r="74" spans="1:4" ht="26.25" thickBot="1" x14ac:dyDescent="0.3">
      <c r="A74" s="31" t="s">
        <v>195</v>
      </c>
      <c r="B74" s="5">
        <v>0</v>
      </c>
      <c r="C74" s="5">
        <v>0</v>
      </c>
      <c r="D74" s="43" t="e">
        <f t="shared" si="1"/>
        <v>#DIV/0!</v>
      </c>
    </row>
    <row r="75" spans="1:4" ht="13.5" thickBot="1" x14ac:dyDescent="0.3">
      <c r="A75" s="31" t="s">
        <v>196</v>
      </c>
      <c r="B75" s="5">
        <v>0</v>
      </c>
      <c r="C75" s="5">
        <v>0</v>
      </c>
      <c r="D75" s="43" t="e">
        <f t="shared" si="1"/>
        <v>#DIV/0!</v>
      </c>
    </row>
    <row r="76" spans="1:4" ht="13.5" thickBot="1" x14ac:dyDescent="0.3">
      <c r="A76" s="31" t="s">
        <v>197</v>
      </c>
      <c r="B76" s="5">
        <v>0</v>
      </c>
      <c r="C76" s="5">
        <v>0</v>
      </c>
      <c r="D76" s="43" t="e">
        <f t="shared" si="2"/>
        <v>#DIV/0!</v>
      </c>
    </row>
    <row r="77" spans="1:4" ht="13.5" thickBot="1" x14ac:dyDescent="0.3">
      <c r="A77" s="31" t="s">
        <v>198</v>
      </c>
      <c r="B77" s="5">
        <v>0</v>
      </c>
      <c r="C77" s="5">
        <v>0</v>
      </c>
      <c r="D77" s="43" t="e">
        <f t="shared" si="1"/>
        <v>#DIV/0!</v>
      </c>
    </row>
    <row r="78" spans="1:4" ht="13.5" thickBot="1" x14ac:dyDescent="0.3">
      <c r="A78" s="31" t="s">
        <v>199</v>
      </c>
      <c r="B78" s="5">
        <v>0</v>
      </c>
      <c r="C78" s="5">
        <v>0</v>
      </c>
      <c r="D78" s="43" t="e">
        <f t="shared" si="1"/>
        <v>#DIV/0!</v>
      </c>
    </row>
    <row r="79" spans="1:4" ht="13.5" thickBot="1" x14ac:dyDescent="0.3">
      <c r="A79" s="28" t="s">
        <v>201</v>
      </c>
      <c r="B79" s="18">
        <f>SUM(B80:B81)</f>
        <v>926368.93660000002</v>
      </c>
      <c r="C79" s="18">
        <f>SUM(C80:C81)</f>
        <v>0</v>
      </c>
      <c r="D79" s="43">
        <f t="shared" si="1"/>
        <v>-1</v>
      </c>
    </row>
    <row r="80" spans="1:4" ht="26.25" thickBot="1" x14ac:dyDescent="0.3">
      <c r="A80" s="31" t="s">
        <v>203</v>
      </c>
      <c r="B80" s="5">
        <v>926368.93660000002</v>
      </c>
      <c r="C80" s="5">
        <v>0</v>
      </c>
      <c r="D80" s="43">
        <f t="shared" si="2"/>
        <v>-1</v>
      </c>
    </row>
    <row r="81" spans="1:5" ht="13.5" thickBot="1" x14ac:dyDescent="0.3">
      <c r="A81" s="31" t="s">
        <v>202</v>
      </c>
      <c r="B81" s="5">
        <v>0</v>
      </c>
      <c r="C81" s="5">
        <v>0</v>
      </c>
      <c r="D81" s="43" t="e">
        <f t="shared" si="1"/>
        <v>#DIV/0!</v>
      </c>
    </row>
    <row r="82" spans="1:5" ht="13.5" thickBot="1" x14ac:dyDescent="0.3">
      <c r="A82" s="28" t="s">
        <v>204</v>
      </c>
      <c r="B82" s="18">
        <f>SUM(B83:B86)</f>
        <v>0</v>
      </c>
      <c r="C82" s="18">
        <f>SUM(C83:C86)</f>
        <v>0</v>
      </c>
      <c r="D82" s="43" t="e">
        <f t="shared" si="1"/>
        <v>#DIV/0!</v>
      </c>
    </row>
    <row r="83" spans="1:5" ht="26.25" customHeight="1" thickBot="1" x14ac:dyDescent="0.3">
      <c r="A83" s="31" t="s">
        <v>205</v>
      </c>
      <c r="B83" s="5">
        <v>0</v>
      </c>
      <c r="C83" s="5">
        <v>0</v>
      </c>
      <c r="D83" s="43" t="e">
        <f t="shared" si="1"/>
        <v>#DIV/0!</v>
      </c>
    </row>
    <row r="84" spans="1:5" ht="51.75" thickBot="1" x14ac:dyDescent="0.3">
      <c r="A84" s="31" t="s">
        <v>206</v>
      </c>
      <c r="B84" s="5">
        <v>0</v>
      </c>
      <c r="C84" s="5">
        <v>0</v>
      </c>
      <c r="D84" s="43" t="e">
        <f t="shared" si="2"/>
        <v>#DIV/0!</v>
      </c>
    </row>
    <row r="85" spans="1:5" ht="26.25" customHeight="1" thickBot="1" x14ac:dyDescent="0.3">
      <c r="A85" s="31" t="s">
        <v>207</v>
      </c>
      <c r="B85" s="5">
        <v>0</v>
      </c>
      <c r="C85" s="5">
        <v>0</v>
      </c>
      <c r="D85" s="43" t="e">
        <f t="shared" si="1"/>
        <v>#DIV/0!</v>
      </c>
    </row>
    <row r="86" spans="1:5" ht="26.25" customHeight="1" thickBot="1" x14ac:dyDescent="0.3">
      <c r="A86" s="31" t="s">
        <v>208</v>
      </c>
      <c r="B86" s="5">
        <v>0</v>
      </c>
      <c r="C86" s="5">
        <v>0</v>
      </c>
      <c r="D86" s="43" t="e">
        <f t="shared" si="1"/>
        <v>#DIV/0!</v>
      </c>
    </row>
    <row r="87" spans="1:5" ht="30" customHeight="1" thickBot="1" x14ac:dyDescent="0.3">
      <c r="A87" s="29" t="s">
        <v>13</v>
      </c>
      <c r="B87" s="33">
        <f>SUM(B41,B44,B49,B67,B72,B79,B82)</f>
        <v>7125900.9908999996</v>
      </c>
      <c r="C87" s="33">
        <f>SUM(C41,C44,C49,C67,C72,C79,C82)</f>
        <v>0</v>
      </c>
      <c r="D87" s="43">
        <f t="shared" si="1"/>
        <v>-1</v>
      </c>
    </row>
    <row r="88" spans="1:5" ht="28.5" customHeight="1" thickBot="1" x14ac:dyDescent="0.3">
      <c r="A88" s="241" t="s">
        <v>212</v>
      </c>
      <c r="B88" s="241"/>
      <c r="C88" s="241"/>
      <c r="D88" s="241"/>
    </row>
    <row r="89" spans="1:5" s="13" customFormat="1" ht="26.25" customHeight="1" thickBot="1" x14ac:dyDescent="0.25">
      <c r="A89" s="28" t="s">
        <v>211</v>
      </c>
      <c r="B89" s="5">
        <v>293.26249999999999</v>
      </c>
      <c r="C89" s="5">
        <v>0</v>
      </c>
      <c r="D89" s="43">
        <f>(C89-B89)/B89</f>
        <v>-1</v>
      </c>
    </row>
    <row r="90" spans="1:5" s="13" customFormat="1" ht="13.5" thickBot="1" x14ac:dyDescent="0.25">
      <c r="A90" s="28" t="s">
        <v>209</v>
      </c>
      <c r="B90" s="5">
        <v>105659.7452</v>
      </c>
      <c r="C90" s="5">
        <v>0</v>
      </c>
      <c r="D90" s="43">
        <f t="shared" ref="D90:D91" si="3">(C90-B90)/B90</f>
        <v>-1</v>
      </c>
    </row>
    <row r="91" spans="1:5" s="13" customFormat="1" ht="13.5" thickBot="1" x14ac:dyDescent="0.25">
      <c r="A91" s="28" t="s">
        <v>210</v>
      </c>
      <c r="B91" s="5">
        <v>0</v>
      </c>
      <c r="C91" s="5">
        <v>0</v>
      </c>
      <c r="D91" s="43" t="e">
        <f t="shared" si="3"/>
        <v>#DIV/0!</v>
      </c>
    </row>
    <row r="92" spans="1:5" s="13" customFormat="1" ht="26.25" customHeight="1" thickBot="1" x14ac:dyDescent="0.25">
      <c r="A92" s="29" t="s">
        <v>13</v>
      </c>
      <c r="B92" s="33">
        <f>SUM(B89:B91)</f>
        <v>105953.0077</v>
      </c>
      <c r="C92" s="33">
        <f>SUM(C89:C91)</f>
        <v>0</v>
      </c>
      <c r="D92" s="44">
        <f t="shared" ref="D92:D93" si="4">(C92-B92)/B92</f>
        <v>-1</v>
      </c>
      <c r="E92" s="34"/>
    </row>
    <row r="93" spans="1:5" ht="28.5" customHeight="1" thickBot="1" x14ac:dyDescent="0.3">
      <c r="A93" s="30" t="s">
        <v>112</v>
      </c>
      <c r="B93" s="27">
        <f>SUM(B92+B39+B87)</f>
        <v>7828394.7328999992</v>
      </c>
      <c r="C93" s="27">
        <f>SUM(C39,C87,C92)</f>
        <v>0</v>
      </c>
      <c r="D93" s="45">
        <f t="shared" si="4"/>
        <v>-1</v>
      </c>
      <c r="E93" s="35" t="s">
        <v>229</v>
      </c>
    </row>
    <row r="95" spans="1:5" ht="42" customHeight="1" x14ac:dyDescent="0.25">
      <c r="A95" s="318" t="s">
        <v>221</v>
      </c>
      <c r="B95" s="318"/>
      <c r="C95" s="318"/>
      <c r="D95" s="318"/>
    </row>
  </sheetData>
  <mergeCells count="7">
    <mergeCell ref="A95:D95"/>
    <mergeCell ref="A3:D3"/>
    <mergeCell ref="A40:D40"/>
    <mergeCell ref="A88:D88"/>
    <mergeCell ref="D1:D2"/>
    <mergeCell ref="B1:C1"/>
    <mergeCell ref="A1:A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17>@ 2548B5  745AL  >?8A0=85  >17>@0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A5 80?07>= A5 80?07>= 80?07>= A5 80?07>= A5 80?07>= 80?07>= !;>9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
</file>

<file path=customXml/item3.xml>�� 
</file>

<file path=customXml/item4.xml>�� 17>@ 2548B5  745AL  >?8A0=85  >17>@0 
</file>

<file path=customXml/itemProps1.xml><?xml version="1.0" encoding="utf-8"?>
<ds:datastoreItem xmlns:ds="http://schemas.openxmlformats.org/officeDocument/2006/customXml" ds:itemID="{A35FF3DF-3B0A-4F8D-BCA7-D5B1B4929F92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4BCA57EF-8647-4E94-AEE6-07D721356BC7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298B682D-3DE0-4774-B5D9-520AC848B2EB}">
  <ds:schemaRefs>
    <ds:schemaRef ds:uri="http://www.w3.org/2001/XMLSchema"/>
    <ds:schemaRef ds:uri="http://microsoft.data.visualization.Client.Excel.PState/1.0"/>
  </ds:schemaRefs>
</ds:datastoreItem>
</file>

<file path=customXml/itemProps4.xml><?xml version="1.0" encoding="utf-8"?>
<ds:datastoreItem xmlns:ds="http://schemas.openxmlformats.org/officeDocument/2006/customXml" ds:itemID="{8BD0A6DA-93E5-4C5B-860B-12AF05C24B22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Таблица 1.1+ общее</vt:lpstr>
      <vt:lpstr>1.1 Стат. данные и сравнит. хар</vt:lpstr>
      <vt:lpstr>1.2 оперативные показатели</vt:lpstr>
      <vt:lpstr>1.3 Пожары</vt:lpstr>
      <vt:lpstr>1.4 Водные объекты</vt:lpstr>
      <vt:lpstr>1.5 дтп </vt:lpstr>
      <vt:lpstr>1.6 Заболевания людей</vt:lpstr>
      <vt:lpstr>1.7 Эпизоотии</vt:lpstr>
      <vt:lpstr>1.8 Эпифитотии</vt:lpstr>
      <vt:lpstr>1.9 ЦУКС</vt:lpstr>
      <vt:lpstr>1.10 Обращения</vt:lpstr>
      <vt:lpstr>1.11 ПАСФ</vt:lpstr>
      <vt:lpstr>1.12 СВФ</vt:lpstr>
      <vt:lpstr>1.13 РПП</vt:lpstr>
      <vt:lpstr>1.14 ВГCЧ</vt:lpstr>
      <vt:lpstr>1.15 ПфВЧ</vt:lpstr>
      <vt:lpstr>Таблица 1.3+</vt:lpstr>
      <vt:lpstr>1,3 разделенная</vt:lpstr>
      <vt:lpstr>1.16 СПО ФПС</vt:lpstr>
      <vt:lpstr>1.17 Психологи</vt:lpstr>
      <vt:lpstr>1.18 ДПО</vt:lpstr>
      <vt:lpstr>1.19 Надзор ЗНТЧС </vt:lpstr>
      <vt:lpstr>1.20 ГПН</vt:lpstr>
      <vt:lpstr>1.21 Лицензирование</vt:lpstr>
      <vt:lpstr>1.22 ГИМС</vt:lpstr>
      <vt:lpstr>1.23 ЧГР</vt:lpstr>
      <vt:lpstr>1.24 ГП ДНР ЛНР ХО ЗО</vt:lpstr>
      <vt:lpstr>1.25 авиац-е обесп-е</vt:lpstr>
      <vt:lpstr>1.26 БАС</vt:lpstr>
      <vt:lpstr>1.27 Показатель Риск</vt:lpstr>
      <vt:lpstr>1.28 Показатель ЗН от ЧС</vt:lpstr>
      <vt:lpstr>1.29 Сведения по ПОО</vt:lpstr>
      <vt:lpstr>Таблица 1.4+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Александрович Привалов</dc:creator>
  <cp:lastModifiedBy>Специалист 1 разряда - Кулешова В.С.</cp:lastModifiedBy>
  <cp:lastPrinted>2024-11-11T12:05:34Z</cp:lastPrinted>
  <dcterms:created xsi:type="dcterms:W3CDTF">2015-06-05T18:19:34Z</dcterms:created>
  <dcterms:modified xsi:type="dcterms:W3CDTF">2024-12-04T11:36:26Z</dcterms:modified>
</cp:coreProperties>
</file>